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0" windowWidth="28545" windowHeight="14445" tabRatio="768"/>
  </bookViews>
  <sheets>
    <sheet name="Disclaimer" sheetId="9" r:id="rId1"/>
    <sheet name="Change Log" sheetId="11" r:id="rId2"/>
    <sheet name="15.A Prescriptive Path" sheetId="3" r:id="rId3"/>
    <sheet name="15.B NatHERS Path" sheetId="1" r:id="rId4"/>
    <sheet name="15.C NABERS Energy Path" sheetId="2" r:id="rId5"/>
    <sheet name="15.D Modelled Path" sheetId="5" r:id="rId6"/>
    <sheet name="Multiple Path Calcs" sheetId="4" r:id="rId7"/>
    <sheet name="Synthetic GHG" sheetId="7" state="hidden" r:id="rId8"/>
    <sheet name="Reference" sheetId="6" state="hidden" r:id="rId9"/>
  </sheets>
  <externalReferences>
    <externalReference r:id="rId10"/>
  </externalReferences>
  <definedNames>
    <definedName name="ACStarRating" localSheetId="1">[1]Reference!$Y$3:$Y$19</definedName>
    <definedName name="ACStarRating">Reference!$Y$3:$Y$19</definedName>
    <definedName name="BldgCapacity" localSheetId="1">[1]Reference!$Z$23:$Z$24</definedName>
    <definedName name="BldgCapacity">Reference!$Z$23:$Z$24</definedName>
    <definedName name="ComfortControl" localSheetId="1">[1]Reference!$Z$6:$Z$8</definedName>
    <definedName name="ComfortControl">Reference!$Z$6:$Z$8</definedName>
    <definedName name="ContractTerm" localSheetId="1">[1]Reference!$Z$13:$Z$22</definedName>
    <definedName name="ContractTerm">Reference!$Z$13:$Z$22</definedName>
    <definedName name="DHWFuel" localSheetId="1">[1]Reference!$Z$9:$Z$12</definedName>
    <definedName name="DHWFuel">Reference!$Z$9:$Z$12</definedName>
    <definedName name="Fuels" localSheetId="1">'[1]15.D Modelled Path'!$B$15:$B$25</definedName>
    <definedName name="Fuels">'15.D Modelled Path'!$B$15:$B$25</definedName>
    <definedName name="GeoGHGFactor" localSheetId="1">[1]Reference!$AB$3:$AD$10</definedName>
    <definedName name="GeoGHGFactor">Reference!$AB$3:$AD$10</definedName>
    <definedName name="GeoLocation" localSheetId="1">[1]Reference!$AB$3:$AB$10</definedName>
    <definedName name="GeoLocation">Reference!$AB$3:$AB$10</definedName>
    <definedName name="NatHERSStar" localSheetId="1">[1]Reference!$X$3:$X$22</definedName>
    <definedName name="NatHERSStar">Reference!$X$3:$X$22</definedName>
    <definedName name="NatHERSZone" localSheetId="1">[1]Reference!$B$4:$B$72</definedName>
    <definedName name="NatHERSZone">Reference!$B$4:$B$72</definedName>
    <definedName name="Option" localSheetId="1">[1]Reference!$Z$3:$Z$4</definedName>
    <definedName name="Option">Reference!$Z$3:$Z$4</definedName>
    <definedName name="OptionNA" localSheetId="1">[1]Reference!$Z$3:$Z$5</definedName>
    <definedName name="OptionNA">Reference!$Z$3:$Z$5</definedName>
    <definedName name="OptNA">Reference!$Z$5</definedName>
    <definedName name="_xlnm.Print_Area" localSheetId="4">'15.C NABERS Energy Path'!$A$4:$P$35</definedName>
    <definedName name="SynthGHGRate" localSheetId="1">[1]Reference!$AE$3:$AF$6</definedName>
    <definedName name="SynthGHGRate">Reference!$AE$3:$AF$6</definedName>
    <definedName name="SynthGHGSource" localSheetId="1">[1]Reference!$AE$3:$AE$6</definedName>
    <definedName name="SynthGHGSource">Reference!$AE$3:$AE$6</definedName>
  </definedNames>
  <calcPr calcId="145621"/>
</workbook>
</file>

<file path=xl/calcChain.xml><?xml version="1.0" encoding="utf-8"?>
<calcChain xmlns="http://schemas.openxmlformats.org/spreadsheetml/2006/main">
  <c r="J37" i="5" l="1"/>
  <c r="K85" i="5" l="1"/>
  <c r="D17" i="2" l="1"/>
  <c r="G14" i="4" l="1"/>
  <c r="D66" i="1"/>
  <c r="D44" i="1"/>
  <c r="D36" i="3"/>
  <c r="D34" i="3"/>
  <c r="C18" i="4"/>
  <c r="D33" i="1"/>
  <c r="D62" i="1"/>
  <c r="O42" i="1"/>
  <c r="O43" i="1"/>
  <c r="N42" i="1"/>
  <c r="N45" i="1"/>
  <c r="N48" i="1"/>
  <c r="D63" i="1"/>
  <c r="D30" i="1"/>
  <c r="D31" i="1"/>
  <c r="F37" i="1"/>
  <c r="F38" i="1"/>
  <c r="F39" i="1"/>
  <c r="D64" i="1"/>
  <c r="F51" i="1"/>
  <c r="F52" i="1"/>
  <c r="D65" i="1"/>
  <c r="F54" i="1"/>
  <c r="F55" i="1"/>
  <c r="F56" i="1"/>
  <c r="F57" i="1"/>
  <c r="F59" i="1"/>
  <c r="D67" i="1"/>
  <c r="D68" i="1"/>
  <c r="E15" i="4"/>
  <c r="F15" i="4"/>
  <c r="E44" i="5"/>
  <c r="C15" i="5"/>
  <c r="E46" i="5" s="1"/>
  <c r="E48" i="5"/>
  <c r="E36" i="5"/>
  <c r="E37" i="5"/>
  <c r="E78" i="5" s="1"/>
  <c r="E38" i="5"/>
  <c r="E41" i="5"/>
  <c r="J72" i="5"/>
  <c r="J73" i="5"/>
  <c r="J74" i="5"/>
  <c r="J75" i="5"/>
  <c r="J76" i="5"/>
  <c r="J77" i="5"/>
  <c r="J78" i="5"/>
  <c r="J79" i="5"/>
  <c r="J80" i="5"/>
  <c r="D57" i="5"/>
  <c r="C90" i="5" s="1"/>
  <c r="F45" i="5"/>
  <c r="F46" i="5"/>
  <c r="F47" i="5"/>
  <c r="F48" i="5"/>
  <c r="F44" i="5"/>
  <c r="F49" i="5"/>
  <c r="F50" i="5"/>
  <c r="F51" i="5"/>
  <c r="F52" i="5"/>
  <c r="G52" i="5" s="1"/>
  <c r="F53" i="5"/>
  <c r="F54" i="5"/>
  <c r="G54" i="5" s="1"/>
  <c r="F55" i="5"/>
  <c r="G55" i="5" s="1"/>
  <c r="F56" i="5"/>
  <c r="I70" i="5"/>
  <c r="I71" i="5"/>
  <c r="C16" i="5"/>
  <c r="P31" i="5" s="1"/>
  <c r="C24" i="5" s="1"/>
  <c r="I72" i="5"/>
  <c r="I73" i="5"/>
  <c r="I74" i="5"/>
  <c r="I75" i="5"/>
  <c r="I76" i="5"/>
  <c r="I77" i="5"/>
  <c r="I78" i="5"/>
  <c r="P30" i="5"/>
  <c r="I79" i="5"/>
  <c r="I80" i="5"/>
  <c r="J44" i="5"/>
  <c r="J45" i="5"/>
  <c r="J46" i="5"/>
  <c r="J47" i="5"/>
  <c r="J48" i="5"/>
  <c r="J49" i="5"/>
  <c r="J36" i="5"/>
  <c r="J38" i="5"/>
  <c r="J39" i="5"/>
  <c r="J40" i="5"/>
  <c r="J41" i="5"/>
  <c r="J42" i="5"/>
  <c r="D17" i="4"/>
  <c r="O64" i="1"/>
  <c r="H48" i="1"/>
  <c r="H49" i="1"/>
  <c r="F49" i="1"/>
  <c r="G42" i="1"/>
  <c r="F42" i="1"/>
  <c r="F48" i="1"/>
  <c r="F19" i="1"/>
  <c r="K40" i="1"/>
  <c r="G43" i="1"/>
  <c r="F43" i="1"/>
  <c r="G46" i="1"/>
  <c r="H46" i="1"/>
  <c r="H45" i="1"/>
  <c r="G45" i="1"/>
  <c r="F46" i="1"/>
  <c r="F45" i="1"/>
  <c r="D47" i="1"/>
  <c r="P49" i="1"/>
  <c r="P48" i="1"/>
  <c r="D79" i="5"/>
  <c r="E79" i="5"/>
  <c r="F79" i="5"/>
  <c r="G79" i="5"/>
  <c r="K51" i="5"/>
  <c r="J50" i="5"/>
  <c r="J51" i="5"/>
  <c r="J52" i="5"/>
  <c r="J53" i="5"/>
  <c r="J54" i="5"/>
  <c r="J55" i="5"/>
  <c r="J56" i="5"/>
  <c r="G51" i="5"/>
  <c r="E51" i="5"/>
  <c r="E52" i="5"/>
  <c r="E53" i="5"/>
  <c r="E54" i="5"/>
  <c r="E55" i="5"/>
  <c r="E56" i="5"/>
  <c r="K50" i="5"/>
  <c r="H16" i="4"/>
  <c r="G16" i="4"/>
  <c r="G15" i="4"/>
  <c r="C116" i="5"/>
  <c r="D77" i="1"/>
  <c r="D80" i="1"/>
  <c r="H15" i="4"/>
  <c r="D47" i="3"/>
  <c r="D50" i="3"/>
  <c r="H14" i="4"/>
  <c r="G53" i="5"/>
  <c r="G56" i="5"/>
  <c r="I57" i="5"/>
  <c r="C115" i="5"/>
  <c r="D14" i="4"/>
  <c r="D37" i="3"/>
  <c r="D35" i="3"/>
  <c r="D33" i="3"/>
  <c r="C21" i="5"/>
  <c r="C20" i="5"/>
  <c r="C19" i="5"/>
  <c r="C18" i="5"/>
  <c r="C17" i="5"/>
  <c r="AD10" i="6"/>
  <c r="AD9" i="6"/>
  <c r="C23" i="5"/>
  <c r="AD8" i="6"/>
  <c r="AD7" i="6"/>
  <c r="AD6" i="6"/>
  <c r="AD5" i="6"/>
  <c r="AD4" i="6"/>
  <c r="AD3" i="6"/>
  <c r="E5" i="7"/>
  <c r="F5" i="7"/>
  <c r="E6" i="7"/>
  <c r="F6" i="7"/>
  <c r="E7" i="7"/>
  <c r="F7" i="7"/>
  <c r="E8" i="7"/>
  <c r="F8" i="7"/>
  <c r="E9" i="7"/>
  <c r="E10" i="7"/>
  <c r="F10" i="7" s="1"/>
  <c r="E11" i="7"/>
  <c r="F11" i="7" s="1"/>
  <c r="E12" i="7"/>
  <c r="F12" i="7" s="1"/>
  <c r="E13" i="7"/>
  <c r="F13" i="7" s="1"/>
  <c r="E14" i="7"/>
  <c r="F14" i="7" s="1"/>
  <c r="E15" i="7"/>
  <c r="F15" i="7" s="1"/>
  <c r="E16" i="7"/>
  <c r="F16" i="7" s="1"/>
  <c r="E17" i="7"/>
  <c r="F17" i="7" s="1"/>
  <c r="E18" i="7"/>
  <c r="F18" i="7" s="1"/>
  <c r="E19" i="7"/>
  <c r="F19" i="7" s="1"/>
  <c r="E20" i="7"/>
  <c r="F20" i="7" s="1"/>
  <c r="E21" i="7"/>
  <c r="F21" i="7" s="1"/>
  <c r="E22" i="7"/>
  <c r="F22" i="7" s="1"/>
  <c r="E23" i="7"/>
  <c r="F23" i="7" s="1"/>
  <c r="E24" i="7"/>
  <c r="F24" i="7" s="1"/>
  <c r="E25" i="7"/>
  <c r="F25" i="7" s="1"/>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E42" i="7"/>
  <c r="F42" i="7" s="1"/>
  <c r="E43" i="7"/>
  <c r="F43" i="7" s="1"/>
  <c r="E44" i="7"/>
  <c r="F44" i="7" s="1"/>
  <c r="E45" i="7"/>
  <c r="F45" i="7" s="1"/>
  <c r="E46" i="7"/>
  <c r="F46" i="7" s="1"/>
  <c r="E47" i="7"/>
  <c r="F47" i="7" s="1"/>
  <c r="E48" i="7"/>
  <c r="F48" i="7" s="1"/>
  <c r="E49" i="7"/>
  <c r="F49" i="7" s="1"/>
  <c r="E50" i="7"/>
  <c r="F50" i="7" s="1"/>
  <c r="E51" i="7"/>
  <c r="F51" i="7" s="1"/>
  <c r="E52" i="7"/>
  <c r="F52" i="7" s="1"/>
  <c r="E4" i="7"/>
  <c r="F4" i="7" s="1"/>
  <c r="F53" i="7" s="1"/>
  <c r="F9" i="7"/>
  <c r="F41" i="7"/>
  <c r="E50" i="5"/>
  <c r="D38" i="3"/>
  <c r="E14" i="4"/>
  <c r="K56" i="5"/>
  <c r="K55" i="5"/>
  <c r="K54" i="5"/>
  <c r="K53" i="5"/>
  <c r="K52" i="5"/>
  <c r="K49" i="5"/>
  <c r="K48" i="5"/>
  <c r="K47" i="5"/>
  <c r="K46" i="5"/>
  <c r="K45" i="5"/>
  <c r="K44" i="5"/>
  <c r="K40" i="5"/>
  <c r="K41" i="5"/>
  <c r="K42" i="5"/>
  <c r="K39" i="5"/>
  <c r="K38" i="5"/>
  <c r="K37" i="5"/>
  <c r="K36" i="5"/>
  <c r="K35" i="5"/>
  <c r="O93" i="5"/>
  <c r="P103" i="5"/>
  <c r="O103" i="5" s="1"/>
  <c r="D16" i="4"/>
  <c r="D41" i="1"/>
  <c r="G46" i="5"/>
  <c r="G44" i="5"/>
  <c r="G36" i="5"/>
  <c r="G37" i="5"/>
  <c r="G38" i="5"/>
  <c r="G41" i="5"/>
  <c r="G71" i="5"/>
  <c r="F70" i="5"/>
  <c r="F71" i="5"/>
  <c r="F72" i="5"/>
  <c r="G72" i="5"/>
  <c r="F73" i="5"/>
  <c r="F74" i="5"/>
  <c r="G74" i="5"/>
  <c r="F75" i="5"/>
  <c r="G75" i="5"/>
  <c r="F76" i="5"/>
  <c r="G76" i="5"/>
  <c r="F77" i="5"/>
  <c r="G77" i="5"/>
  <c r="F78" i="5"/>
  <c r="G78" i="5"/>
  <c r="F80" i="5"/>
  <c r="I82" i="5"/>
  <c r="J66" i="5"/>
  <c r="E72" i="5"/>
  <c r="E74" i="5"/>
  <c r="E75" i="5"/>
  <c r="E76" i="5"/>
  <c r="E77" i="5"/>
  <c r="D71" i="5"/>
  <c r="D72" i="5"/>
  <c r="D73" i="5"/>
  <c r="D74" i="5"/>
  <c r="D75" i="5"/>
  <c r="D76" i="5"/>
  <c r="D77" i="5"/>
  <c r="D78" i="5"/>
  <c r="D80" i="5"/>
  <c r="D70" i="5"/>
  <c r="D28" i="1"/>
  <c r="J63" i="5"/>
  <c r="E71" i="5"/>
  <c r="D15" i="4"/>
  <c r="D25" i="1"/>
  <c r="D27" i="1"/>
  <c r="D24" i="1"/>
  <c r="D26" i="1"/>
  <c r="D28" i="2"/>
  <c r="F14" i="4"/>
  <c r="I16" i="4"/>
  <c r="I15" i="4"/>
  <c r="I14" i="4"/>
  <c r="D18" i="2"/>
  <c r="G73" i="5"/>
  <c r="E73" i="5"/>
  <c r="F62" i="1"/>
  <c r="P116" i="5"/>
  <c r="Q116" i="5" s="1"/>
  <c r="G17" i="4"/>
  <c r="O115" i="5"/>
  <c r="D32" i="2"/>
  <c r="C117" i="5" l="1"/>
  <c r="H17" i="4" s="1"/>
  <c r="I17" i="4" s="1"/>
  <c r="I18" i="4" s="1"/>
  <c r="G31" i="2"/>
  <c r="F31" i="2" s="1"/>
  <c r="D31" i="2" s="1"/>
  <c r="E16" i="4" s="1"/>
  <c r="F16" i="4" s="1"/>
  <c r="F57" i="5"/>
  <c r="C91" i="5" s="1"/>
  <c r="C92" i="5" s="1"/>
  <c r="C93" i="5" s="1"/>
  <c r="K73" i="5"/>
  <c r="K74" i="5"/>
  <c r="J35" i="5"/>
  <c r="J71" i="5" s="1"/>
  <c r="K76" i="5"/>
  <c r="K72" i="5"/>
  <c r="G35" i="5"/>
  <c r="K75" i="5"/>
  <c r="J64" i="5"/>
  <c r="E35" i="5"/>
  <c r="E80" i="5" s="1"/>
  <c r="K71" i="5"/>
  <c r="K78" i="5"/>
  <c r="I81" i="5"/>
  <c r="G42" i="5"/>
  <c r="G45" i="5"/>
  <c r="G49" i="5"/>
  <c r="G50" i="5"/>
  <c r="K79" i="5"/>
  <c r="E42" i="5"/>
  <c r="E49" i="5"/>
  <c r="E45" i="5"/>
  <c r="G40" i="5"/>
  <c r="G47" i="5"/>
  <c r="P32" i="5"/>
  <c r="K70" i="5"/>
  <c r="J61" i="5"/>
  <c r="E40" i="5"/>
  <c r="E47" i="5"/>
  <c r="G39" i="5"/>
  <c r="G48" i="5"/>
  <c r="P29" i="5"/>
  <c r="J60" i="5"/>
  <c r="J70" i="5" s="1"/>
  <c r="E39" i="5"/>
  <c r="J81" i="5" l="1"/>
  <c r="C98" i="5" s="1"/>
  <c r="J57" i="5"/>
  <c r="G70" i="5"/>
  <c r="G80" i="5"/>
  <c r="E70" i="5"/>
  <c r="J82" i="5"/>
  <c r="E57" i="5"/>
  <c r="C96" i="5" s="1"/>
  <c r="G57" i="5"/>
  <c r="C25" i="5"/>
  <c r="K80" i="5"/>
  <c r="K77" i="5"/>
  <c r="C22" i="5"/>
  <c r="C100" i="5" l="1"/>
  <c r="C105" i="5"/>
  <c r="C106" i="5" s="1"/>
  <c r="K81" i="5"/>
  <c r="C97" i="5" s="1"/>
  <c r="C102" i="5" s="1"/>
  <c r="C101" i="5"/>
  <c r="C103" i="5" l="1"/>
  <c r="C108" i="5" s="1"/>
  <c r="E17" i="4" s="1"/>
  <c r="F17" i="4" s="1"/>
  <c r="F18" i="4" s="1"/>
</calcChain>
</file>

<file path=xl/comments1.xml><?xml version="1.0" encoding="utf-8"?>
<comments xmlns="http://schemas.openxmlformats.org/spreadsheetml/2006/main">
  <authors>
    <author>richardj</author>
  </authors>
  <commentList>
    <comment ref="F50" authorId="0">
      <text>
        <r>
          <rPr>
            <b/>
            <sz val="9"/>
            <color indexed="81"/>
            <rFont val="Tahoma"/>
            <family val="2"/>
          </rPr>
          <t>richardj:</t>
        </r>
        <r>
          <rPr>
            <sz val="9"/>
            <color indexed="81"/>
            <rFont val="Tahoma"/>
            <family val="2"/>
          </rPr>
          <t xml:space="preserve">
Minimum peak demand reduction threshold</t>
        </r>
      </text>
    </comment>
  </commentList>
</comments>
</file>

<file path=xl/comments2.xml><?xml version="1.0" encoding="utf-8"?>
<comments xmlns="http://schemas.openxmlformats.org/spreadsheetml/2006/main">
  <authors>
    <author>richardj</author>
  </authors>
  <commentList>
    <comment ref="F80" authorId="0">
      <text>
        <r>
          <rPr>
            <b/>
            <sz val="9"/>
            <color indexed="81"/>
            <rFont val="Tahoma"/>
            <family val="2"/>
          </rPr>
          <t>richardj:</t>
        </r>
        <r>
          <rPr>
            <sz val="9"/>
            <color indexed="81"/>
            <rFont val="Tahoma"/>
            <family val="2"/>
          </rPr>
          <t xml:space="preserve">
Minimum peak demand reduction threshold</t>
        </r>
      </text>
    </comment>
  </commentList>
</comments>
</file>

<file path=xl/comments3.xml><?xml version="1.0" encoding="utf-8"?>
<comments xmlns="http://schemas.openxmlformats.org/spreadsheetml/2006/main">
  <authors>
    <author>Karl Desai</author>
    <author>richardj</author>
  </authors>
  <commentList>
    <comment ref="C32" authorId="0">
      <text>
        <r>
          <rPr>
            <sz val="9"/>
            <color indexed="81"/>
            <rFont val="Tahoma"/>
            <family val="2"/>
          </rPr>
          <t>Please note that calculations for the Benchmark Building are determined based on the inputs from the Reference Building, and are not required to be inputted by project teams. 
Please see the Calculator Guide for additional information.</t>
        </r>
      </text>
    </comment>
    <comment ref="L32" authorId="1">
      <text>
        <r>
          <rPr>
            <sz val="9"/>
            <color indexed="81"/>
            <rFont val="Tahoma"/>
            <family val="2"/>
          </rPr>
          <t>Project teams must provide comment on the causes of the improvements in the Proposed Building where any improvements exceed 5%.</t>
        </r>
      </text>
    </comment>
    <comment ref="D33" authorId="0">
      <text>
        <r>
          <rPr>
            <sz val="9"/>
            <color indexed="81"/>
            <rFont val="Tahoma"/>
            <family val="2"/>
          </rPr>
          <t>Ensure that energy values entered are in units consistent with the GHG emission factors, i.e. kWh for electricity and MJ for all other fuels/energy sources.</t>
        </r>
      </text>
    </comment>
    <comment ref="F33" authorId="0">
      <text>
        <r>
          <rPr>
            <sz val="9"/>
            <color indexed="81"/>
            <rFont val="Tahoma"/>
            <family val="2"/>
          </rPr>
          <t>Ensure that energy values entered are in units consistent with the GHG emission factors, i.e. kWh for electricity and MJ for all other fuels/energy sources.</t>
        </r>
      </text>
    </comment>
    <comment ref="I33" authorId="0">
      <text>
        <r>
          <rPr>
            <sz val="9"/>
            <color indexed="81"/>
            <rFont val="Tahoma"/>
            <family val="2"/>
          </rPr>
          <t>Ensure that energy values entered are in units consistent with the GHG emission factors, i.e. kWh for electricity and MJ for all other fuels/energy sources.</t>
        </r>
        <r>
          <rPr>
            <sz val="8"/>
            <color indexed="81"/>
            <rFont val="Tahoma"/>
            <family val="2"/>
          </rPr>
          <t xml:space="preserve">
</t>
        </r>
      </text>
    </comment>
    <comment ref="B43" authorId="0">
      <text>
        <r>
          <rPr>
            <sz val="9"/>
            <color indexed="81"/>
            <rFont val="Tahoma"/>
            <family val="2"/>
          </rPr>
          <t>Please note that the calculator inputs for the building services are the same in the Reference and Intermediate Building models. Project teams are not required to input these values for the Intermediate Building. 
Please see the Calculator Guide for additional information.</t>
        </r>
      </text>
    </comment>
    <comment ref="K81" authorId="0">
      <text>
        <r>
          <rPr>
            <sz val="9"/>
            <color indexed="81"/>
            <rFont val="Tahoma"/>
            <family val="2"/>
          </rPr>
          <t>Total excluding off-site supply.</t>
        </r>
      </text>
    </comment>
    <comment ref="O93" authorId="1">
      <text>
        <r>
          <rPr>
            <b/>
            <sz val="9"/>
            <color indexed="81"/>
            <rFont val="Tahoma"/>
            <family val="2"/>
          </rPr>
          <t>richardj:</t>
        </r>
        <r>
          <rPr>
            <sz val="9"/>
            <color indexed="81"/>
            <rFont val="Tahoma"/>
            <family val="2"/>
          </rPr>
          <t xml:space="preserve">
Points available for this component of the credit</t>
        </r>
      </text>
    </comment>
    <comment ref="P93" authorId="1">
      <text>
        <r>
          <rPr>
            <b/>
            <sz val="9"/>
            <color indexed="81"/>
            <rFont val="Tahoma"/>
            <family val="2"/>
          </rPr>
          <t>richardj:</t>
        </r>
        <r>
          <rPr>
            <sz val="9"/>
            <color indexed="81"/>
            <rFont val="Tahoma"/>
            <family val="2"/>
          </rPr>
          <t xml:space="preserve">
Proportion of points available for this component of the credit</t>
        </r>
      </text>
    </comment>
    <comment ref="Q93" authorId="1">
      <text>
        <r>
          <rPr>
            <b/>
            <sz val="9"/>
            <color indexed="81"/>
            <rFont val="Tahoma"/>
            <family val="2"/>
          </rPr>
          <t>richardj:</t>
        </r>
        <r>
          <rPr>
            <sz val="9"/>
            <color indexed="81"/>
            <rFont val="Tahoma"/>
            <family val="2"/>
          </rPr>
          <t xml:space="preserve">
Maximum improvement rewarded by credit</t>
        </r>
      </text>
    </comment>
    <comment ref="B96" authorId="0">
      <text>
        <r>
          <rPr>
            <sz val="9"/>
            <color indexed="81"/>
            <rFont val="Tahoma"/>
            <family val="2"/>
          </rPr>
          <t>The Benchmark Building is a 10% improvement over the Reference Building.</t>
        </r>
      </text>
    </comment>
    <comment ref="O103" authorId="1">
      <text>
        <r>
          <rPr>
            <b/>
            <sz val="9"/>
            <color indexed="81"/>
            <rFont val="Tahoma"/>
            <family val="2"/>
          </rPr>
          <t>richardj:</t>
        </r>
        <r>
          <rPr>
            <sz val="9"/>
            <color indexed="81"/>
            <rFont val="Tahoma"/>
            <family val="2"/>
          </rPr>
          <t xml:space="preserve">
Points available for this component of the credit</t>
        </r>
      </text>
    </comment>
    <comment ref="P103" authorId="1">
      <text>
        <r>
          <rPr>
            <b/>
            <sz val="9"/>
            <color indexed="81"/>
            <rFont val="Tahoma"/>
            <family val="2"/>
          </rPr>
          <t>richardj:</t>
        </r>
        <r>
          <rPr>
            <sz val="9"/>
            <color indexed="81"/>
            <rFont val="Tahoma"/>
            <family val="2"/>
          </rPr>
          <t xml:space="preserve">
Proportion of points available for this component of the credit</t>
        </r>
      </text>
    </comment>
    <comment ref="Q103" authorId="1">
      <text>
        <r>
          <rPr>
            <b/>
            <sz val="9"/>
            <color indexed="81"/>
            <rFont val="Tahoma"/>
            <family val="2"/>
          </rPr>
          <t>richardj:</t>
        </r>
        <r>
          <rPr>
            <sz val="9"/>
            <color indexed="81"/>
            <rFont val="Tahoma"/>
            <family val="2"/>
          </rPr>
          <t xml:space="preserve">
Maximum improvement rewarded by credit</t>
        </r>
      </text>
    </comment>
    <comment ref="O106" authorId="1">
      <text>
        <r>
          <rPr>
            <b/>
            <sz val="9"/>
            <color indexed="81"/>
            <rFont val="Tahoma"/>
            <family val="2"/>
          </rPr>
          <t>richardj:</t>
        </r>
        <r>
          <rPr>
            <sz val="9"/>
            <color indexed="81"/>
            <rFont val="Tahoma"/>
            <family val="2"/>
          </rPr>
          <t xml:space="preserve">
Points available for this component of the credit</t>
        </r>
      </text>
    </comment>
    <comment ref="P106" authorId="1">
      <text>
        <r>
          <rPr>
            <b/>
            <sz val="9"/>
            <color indexed="81"/>
            <rFont val="Tahoma"/>
            <family val="2"/>
          </rPr>
          <t>richardj:</t>
        </r>
        <r>
          <rPr>
            <sz val="9"/>
            <color indexed="81"/>
            <rFont val="Tahoma"/>
            <family val="2"/>
          </rPr>
          <t xml:space="preserve">
Proportion of points available for this component of the credit</t>
        </r>
      </text>
    </comment>
    <comment ref="Q106" authorId="1">
      <text>
        <r>
          <rPr>
            <b/>
            <sz val="9"/>
            <color indexed="81"/>
            <rFont val="Tahoma"/>
            <family val="2"/>
          </rPr>
          <t>richardj:</t>
        </r>
        <r>
          <rPr>
            <sz val="9"/>
            <color indexed="81"/>
            <rFont val="Tahoma"/>
            <family val="2"/>
          </rPr>
          <t xml:space="preserve">
Maximum improvement rewarded by credit</t>
        </r>
      </text>
    </comment>
    <comment ref="P116" authorId="1">
      <text>
        <r>
          <rPr>
            <b/>
            <sz val="9"/>
            <color indexed="81"/>
            <rFont val="Tahoma"/>
            <family val="2"/>
          </rPr>
          <t>richardj:</t>
        </r>
        <r>
          <rPr>
            <sz val="9"/>
            <color indexed="81"/>
            <rFont val="Tahoma"/>
            <family val="2"/>
          </rPr>
          <t xml:space="preserve">
Straight line gradient</t>
        </r>
      </text>
    </comment>
    <comment ref="Q116" authorId="1">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<sst xmlns="http://schemas.openxmlformats.org/spreadsheetml/2006/main" count="498" uniqueCount="343">
  <si>
    <t>Legislated Minimum Development Average Rating</t>
  </si>
  <si>
    <t>Legislated Minimum Worst-Case Apartment Rating</t>
  </si>
  <si>
    <t>star</t>
  </si>
  <si>
    <t>Climate Zone</t>
  </si>
  <si>
    <t>NatHERS Climate Zone</t>
  </si>
  <si>
    <t>Energy Intensity at NatHERS 10-star</t>
  </si>
  <si>
    <t>MJ/m²</t>
  </si>
  <si>
    <t>Project Average Energy Intensity</t>
  </si>
  <si>
    <t>Project Worst-Case Energy Intensity</t>
  </si>
  <si>
    <t>HVAC</t>
  </si>
  <si>
    <t>BUILDING SERVICES SPECIFICATION</t>
  </si>
  <si>
    <t>Lighting</t>
  </si>
  <si>
    <t>Domestic Hot Water</t>
  </si>
  <si>
    <t>Appliances and Equipment</t>
  </si>
  <si>
    <t>Location</t>
  </si>
  <si>
    <t>Energy Rating (stars)</t>
  </si>
  <si>
    <t>Darwin</t>
  </si>
  <si>
    <t>Port Hedland</t>
  </si>
  <si>
    <t>Longreach</t>
  </si>
  <si>
    <t>Carnarvon</t>
  </si>
  <si>
    <t>Townsville</t>
  </si>
  <si>
    <t>Alice Springs</t>
  </si>
  <si>
    <t>Rockhampton</t>
  </si>
  <si>
    <t>Moree</t>
  </si>
  <si>
    <t>Amberley</t>
  </si>
  <si>
    <t>Brisbane</t>
  </si>
  <si>
    <t>Coffs Harbour</t>
  </si>
  <si>
    <t>Geraldton</t>
  </si>
  <si>
    <t>Perth</t>
  </si>
  <si>
    <t>Armidale</t>
  </si>
  <si>
    <t>Williamtown</t>
  </si>
  <si>
    <t>Adelaide</t>
  </si>
  <si>
    <t>Sydney East</t>
  </si>
  <si>
    <t>Nowra</t>
  </si>
  <si>
    <t>Charleville</t>
  </si>
  <si>
    <t>Wagga</t>
  </si>
  <si>
    <t>Melbourne</t>
  </si>
  <si>
    <t>East Sale</t>
  </si>
  <si>
    <t>Launceston</t>
  </si>
  <si>
    <t>All common area lighting with automatic lighting control</t>
  </si>
  <si>
    <t>Installed equipment capacity no more than 20% greater than design heating capacity</t>
  </si>
  <si>
    <t>Minimum cooling system Energy Star rating</t>
  </si>
  <si>
    <t>Minimum heating system Energy Star rating</t>
  </si>
  <si>
    <t>Project location postcode</t>
  </si>
  <si>
    <t>Rated Area</t>
  </si>
  <si>
    <t>m²</t>
  </si>
  <si>
    <t>Rated Hours</t>
  </si>
  <si>
    <t>per week</t>
  </si>
  <si>
    <t>kg</t>
  </si>
  <si>
    <t>Installed equipment capacity no more than 10% greater than design cooling capacity</t>
  </si>
  <si>
    <t>Maximum Points</t>
  </si>
  <si>
    <t>Achieved Points</t>
  </si>
  <si>
    <t>TOTAL</t>
  </si>
  <si>
    <t>Area-Weighted Points</t>
  </si>
  <si>
    <t>Performance Improvement</t>
  </si>
  <si>
    <t>Project raw GHG emissions (Scope 1, 2 and 3)</t>
  </si>
  <si>
    <t>Raw GHG emissions (Scope 1, 2 and 3) at GS minimum threshold</t>
  </si>
  <si>
    <t>Refrigerators achieve a minimum Energy Rating of 1 star below the maximum available rating</t>
  </si>
  <si>
    <t>Washing machines achieve a minimum Energy Rating of 1 star below the maximum available rating</t>
  </si>
  <si>
    <t>Clothes dryers achieve a minimum Energy Rating of 1 star below the maximum available rating</t>
  </si>
  <si>
    <t>Dishwashers achieve a minimum Energy Rating of 1 star below the maximum available rating</t>
  </si>
  <si>
    <t>Heating and Cooling</t>
  </si>
  <si>
    <t>Hot Water</t>
  </si>
  <si>
    <t>AVAILABLE</t>
  </si>
  <si>
    <t>Photovoltaic</t>
  </si>
  <si>
    <t>Yes</t>
  </si>
  <si>
    <t>No</t>
  </si>
  <si>
    <t>CREDIT SCORE</t>
  </si>
  <si>
    <t>Lighting installation energy efficiency</t>
  </si>
  <si>
    <t>Heating</t>
  </si>
  <si>
    <t>Cooling</t>
  </si>
  <si>
    <t>Heat Rejection</t>
  </si>
  <si>
    <t>Air Conditioning Fans</t>
  </si>
  <si>
    <t>Mechanical Ventilation Fans</t>
  </si>
  <si>
    <t>Pumps</t>
  </si>
  <si>
    <t>Services</t>
  </si>
  <si>
    <t>Lifts</t>
  </si>
  <si>
    <t>Artificial Lighting - Internal</t>
  </si>
  <si>
    <t>Artificial Lighting - External</t>
  </si>
  <si>
    <t>GHG Emissions</t>
  </si>
  <si>
    <t>Renewable Energy</t>
  </si>
  <si>
    <t>Wind Turbines</t>
  </si>
  <si>
    <t>Co/Trigeneration</t>
  </si>
  <si>
    <t>Fuel Input</t>
  </si>
  <si>
    <t>Electricity Output</t>
  </si>
  <si>
    <t>REFERENCE BUILDING</t>
  </si>
  <si>
    <t>BUILDING LOCATION</t>
  </si>
  <si>
    <t>Natural Gas</t>
  </si>
  <si>
    <t>External Energy Services</t>
  </si>
  <si>
    <t>Electricity Supply</t>
  </si>
  <si>
    <t>Source</t>
  </si>
  <si>
    <t>&lt;Other 1 - user to specify&gt;</t>
  </si>
  <si>
    <t>&lt;Other 2 - user to specify&gt;</t>
  </si>
  <si>
    <t>&lt;Other 3 - user to specify&gt;</t>
  </si>
  <si>
    <t>&lt;Other 4 - user to specify&gt;</t>
  </si>
  <si>
    <t>&lt;Other 5 - user to specify&gt;</t>
  </si>
  <si>
    <t>LPG</t>
  </si>
  <si>
    <t>Diesel</t>
  </si>
  <si>
    <t>Coal</t>
  </si>
  <si>
    <t>Biomass</t>
  </si>
  <si>
    <t>Liquid Biofuels</t>
  </si>
  <si>
    <t>District CHW</t>
  </si>
  <si>
    <t>District HHW</t>
  </si>
  <si>
    <t>Grid Electricity</t>
  </si>
  <si>
    <t>Location dependent</t>
  </si>
  <si>
    <t>Improvement</t>
  </si>
  <si>
    <t>Benchmark Building GHG</t>
  </si>
  <si>
    <t>kgCO2e/annum</t>
  </si>
  <si>
    <t>DHW Circulators and Controls</t>
  </si>
  <si>
    <t>DCW Pumps and Controls</t>
  </si>
  <si>
    <t>TOTAL RENEWABLE</t>
  </si>
  <si>
    <t>INTERMEDIATE BUILDING</t>
  </si>
  <si>
    <t>Intermediate Building Energy</t>
  </si>
  <si>
    <t>Proportion of building area assessed</t>
  </si>
  <si>
    <t>Comfort control strategy</t>
  </si>
  <si>
    <t>Mechanical Cooling</t>
  </si>
  <si>
    <t>Natural Ventilation</t>
  </si>
  <si>
    <t>Mechanical cooling</t>
  </si>
  <si>
    <t>Mixed</t>
  </si>
  <si>
    <t>If Mixed, proportion of apartments with nat vent</t>
  </si>
  <si>
    <t>Mech</t>
  </si>
  <si>
    <t>Nat Vent</t>
  </si>
  <si>
    <t>Using Shared Services Utilities</t>
  </si>
  <si>
    <t>ACT</t>
  </si>
  <si>
    <t>NSW</t>
  </si>
  <si>
    <t>NT</t>
  </si>
  <si>
    <t>WA</t>
  </si>
  <si>
    <t>VIC</t>
  </si>
  <si>
    <t>SA</t>
  </si>
  <si>
    <t>TAS</t>
  </si>
  <si>
    <t>QLD</t>
  </si>
  <si>
    <t>Elec</t>
  </si>
  <si>
    <t>Gas</t>
  </si>
  <si>
    <t>Upper</t>
  </si>
  <si>
    <t>Lower</t>
  </si>
  <si>
    <t>NA</t>
  </si>
  <si>
    <t>Installed solar thermal heating system capacity (total RECs)</t>
  </si>
  <si>
    <t>Building total nominal occupancy</t>
  </si>
  <si>
    <t>Item</t>
  </si>
  <si>
    <t>Class</t>
  </si>
  <si>
    <t>Leakage Rate</t>
  </si>
  <si>
    <t>GHG Emission Rate</t>
  </si>
  <si>
    <t>Commercial air conditioning – chillers</t>
  </si>
  <si>
    <t>Commercial refrigeration – supermarket systems</t>
  </si>
  <si>
    <t>Industrial refrigeration including food processing and cold storage</t>
  </si>
  <si>
    <t>Gas insulated switchgear and circuit breaker applications</t>
  </si>
  <si>
    <t>Synthetic GHG source equipment type</t>
  </si>
  <si>
    <t>Leakage rate</t>
  </si>
  <si>
    <t>GHG Content</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</si>
  <si>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</si>
  <si>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</si>
  <si>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Location independent</t>
  </si>
  <si>
    <r>
      <t>kgCO</t>
    </r>
    <r>
      <rPr>
        <vertAlign val="subscript"/>
        <sz val="10"/>
        <color theme="1"/>
        <rFont val="Arial"/>
        <family val="2"/>
      </rPr>
      <t>2</t>
    </r>
    <r>
      <rPr>
        <sz val="10"/>
        <color theme="1"/>
        <rFont val="Arial"/>
        <family val="2"/>
      </rPr>
      <t>e/kWh</t>
    </r>
  </si>
  <si>
    <r>
      <t>kgCO</t>
    </r>
    <r>
      <rPr>
        <vertAlign val="subscript"/>
        <sz val="10"/>
        <color theme="1"/>
        <rFont val="Arial"/>
        <family val="2"/>
      </rPr>
      <t>2</t>
    </r>
    <r>
      <rPr>
        <sz val="10"/>
        <color theme="1"/>
        <rFont val="Arial"/>
        <family val="2"/>
      </rPr>
      <t>e/MJ</t>
    </r>
  </si>
  <si>
    <t>GHG Emission Intensity Factors</t>
  </si>
  <si>
    <t>Building Sealing</t>
  </si>
  <si>
    <t>Lighting power density is reduced by at least 10% below the requirement of BCA Part J6 for sole-occupancy units of Class 2 buildings, and in all communal areas accessible by residents</t>
  </si>
  <si>
    <t>Independent light switching to each room of each sole-occupancy unit (including separation of kitchen and living area in open-plan living/dining areas).</t>
  </si>
  <si>
    <t>Cross ventilation pathway in all naturally ventilated apartments</t>
  </si>
  <si>
    <t>Ceiling fan installed in all naturally ventilated apartments</t>
  </si>
  <si>
    <t>Building Fabric</t>
  </si>
  <si>
    <t>Glazing</t>
  </si>
  <si>
    <t>Automated lighting control systems are provided to at least 95% of the nominated area</t>
  </si>
  <si>
    <t>For Class 5 and 9a buildings, individually switched lighting zones do not exceed 100 m²</t>
  </si>
  <si>
    <t>For mechanically air conditioned and mixed mode spaces, a pressurised building air leakage test in accordance with ASTM E779-10 or ATTMA TSL2</t>
  </si>
  <si>
    <t>For naturally ventilated spaces, compliance with credit IEQ-1</t>
  </si>
  <si>
    <t>TOTAL AVAILABLE</t>
  </si>
  <si>
    <t>Canberra</t>
  </si>
  <si>
    <t>Cabramurra</t>
  </si>
  <si>
    <t>Hobart</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</si>
  <si>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</si>
  <si>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</si>
  <si>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</si>
  <si>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</si>
  <si>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</si>
  <si>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</si>
  <si>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</si>
  <si>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</si>
  <si>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</si>
  <si>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</si>
  <si>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</si>
  <si>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</si>
  <si>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</si>
  <si>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</si>
  <si>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</si>
  <si>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</si>
  <si>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</si>
  <si>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</si>
  <si>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</si>
  <si>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</si>
  <si>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</si>
  <si>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</si>
  <si>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</si>
  <si>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</si>
  <si>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</si>
  <si>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</si>
  <si>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</si>
  <si>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</si>
  <si>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</si>
  <si>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</si>
  <si>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</si>
  <si>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</si>
  <si>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</si>
  <si>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</si>
  <si>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</si>
  <si>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</si>
  <si>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</si>
  <si>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</si>
  <si>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</si>
  <si>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</si>
  <si>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</si>
  <si>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</si>
  <si>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</si>
  <si>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Units</t>
  </si>
  <si>
    <t>Day of Peak Demand</t>
  </si>
  <si>
    <t>Peak Demand (kW)</t>
  </si>
  <si>
    <t>MJ/annum</t>
  </si>
  <si>
    <t>Energy/GHG Reduction</t>
  </si>
  <si>
    <t>Peak Demand Reduction</t>
  </si>
  <si>
    <t>Gross Floor Area (m²)</t>
  </si>
  <si>
    <t>District DHW</t>
  </si>
  <si>
    <t>ENERGY AND GREENHOUSE GAS EMISSIONS REDUCTION</t>
  </si>
  <si>
    <t>kVA</t>
  </si>
  <si>
    <t>Always on, on-site power generation supply</t>
  </si>
  <si>
    <t>Peak demand reduction</t>
  </si>
  <si>
    <t>Building calculated maximum electricity demand as per AS3000</t>
  </si>
  <si>
    <t>Reference Building Energy</t>
  </si>
  <si>
    <t>Appliances (Class 2 only)</t>
  </si>
  <si>
    <t>Electric heat pump (COP&gt;3.5)</t>
  </si>
  <si>
    <t>Waste or recovered heat</t>
  </si>
  <si>
    <t>Other</t>
  </si>
  <si>
    <t>DHW non-renewable fuel source</t>
  </si>
  <si>
    <t>All material R values are increased by at least 15% relative to the minimum required values as per Parts J1.3, J1.5 and J1.6</t>
  </si>
  <si>
    <t>For vertical glazing, not more than 85% of the total allowance for each orientation of each storey of the building</t>
  </si>
  <si>
    <t>For roof lights, reduction of at least 15% from the applicable U and SHGC values as per Part J1.4</t>
  </si>
  <si>
    <t>A reduction of at least 30% relative to the maximum allowable aggregated lighting power density as per Part J6</t>
  </si>
  <si>
    <t>A reduction of at least 15% relative to the maximum allowable fan motor power as per Part J5.2</t>
  </si>
  <si>
    <t>A reduction of at least 15% relative to the maximum allowable pump motor power as per Part J5.4</t>
  </si>
  <si>
    <t>An increase of at least 15% relative to the minimum required gross thermal efficiency for water heaters as per Part J5.4</t>
  </si>
  <si>
    <t>PPA term</t>
  </si>
  <si>
    <t>TPPA term</t>
  </si>
  <si>
    <t>Swimming Pools</t>
  </si>
  <si>
    <t>Building capacity</t>
  </si>
  <si>
    <t>Baseline GHG emission rate</t>
  </si>
  <si>
    <t>District Electricity (inc GreenPower)</t>
  </si>
  <si>
    <t>Off-site supply max points</t>
  </si>
  <si>
    <t>&lt;90%</t>
  </si>
  <si>
    <t>≥90%</t>
  </si>
  <si>
    <t>Innovation - Renewable Energy</t>
  </si>
  <si>
    <t>15.B NatHERS Path</t>
  </si>
  <si>
    <t>15.A Prescriptive Path</t>
  </si>
  <si>
    <t>15.C NABERS Energy Path</t>
  </si>
  <si>
    <t>15.D Modelled Path</t>
  </si>
  <si>
    <t>15.B NaTHERS Pathway</t>
  </si>
  <si>
    <t>Conditional Requirement</t>
  </si>
  <si>
    <t>15.A Prescriptive Pathway</t>
  </si>
  <si>
    <t>POINTS SCORE</t>
  </si>
  <si>
    <t>NABERS Energy Reverse Calculator Input and Output</t>
  </si>
  <si>
    <t>NABERS Energy Rating Calculator Output</t>
  </si>
  <si>
    <t>stars</t>
  </si>
  <si>
    <t>Commitment Agreement</t>
  </si>
  <si>
    <t>15.C NABERS Energy Commitment Agreement Pathway</t>
  </si>
  <si>
    <t>15.D Modelled Performance Pathway</t>
  </si>
  <si>
    <t>Fill out each individual tab that represents the composition of your project.</t>
  </si>
  <si>
    <t>Then, allocate the Gross Floor Area of each NCC Class type that are included in your Green Star project and area-weighted points will be calculated.</t>
  </si>
  <si>
    <t>Multiple Pathways Calculator</t>
  </si>
  <si>
    <t>HVAC only</t>
  </si>
  <si>
    <t>Nat-vent</t>
  </si>
  <si>
    <t>Mechanical heating provided?</t>
  </si>
  <si>
    <t>Do not touch</t>
  </si>
  <si>
    <t>% of value to score</t>
  </si>
  <si>
    <t>answers to column "c"</t>
  </si>
  <si>
    <t>total</t>
  </si>
  <si>
    <t>x</t>
  </si>
  <si>
    <t>Change Log</t>
  </si>
  <si>
    <t>User Input Cells</t>
  </si>
  <si>
    <t>Rows may be inserted if requried</t>
  </si>
  <si>
    <t>Rows may be inserted if required</t>
  </si>
  <si>
    <t>%</t>
  </si>
  <si>
    <t>16.B PEAK ELECTRICITY DEMAND REDUCTION</t>
  </si>
  <si>
    <t>Project input</t>
  </si>
  <si>
    <t>Minimum Average Benchmark</t>
  </si>
  <si>
    <t>Minimum Worst-Case Benchmark</t>
  </si>
  <si>
    <t>Benchmark Energy Intensity</t>
  </si>
  <si>
    <t>Worst Case Energy Intensity Benchmark</t>
  </si>
  <si>
    <t>Benchmark Building Information</t>
  </si>
  <si>
    <t>TOTAL POINTS ACHIEVED</t>
  </si>
  <si>
    <t>TOTAL POINTS AVAILABLE</t>
  </si>
  <si>
    <t>Energy Intensity Conditional Requirement met?</t>
  </si>
  <si>
    <t>Worst Case Unit Conditional Requirement met?</t>
  </si>
  <si>
    <t>Credit Score</t>
  </si>
  <si>
    <t>16.A PEAK ELECTRICITY DEMAND REDUCTION</t>
  </si>
  <si>
    <t>Control strategy</t>
  </si>
  <si>
    <t>An increase of at least 15% relative to the minimum required energy efficiency ratio for packaged air conditioning equipment and refrigerant chillers as per Part J5.4 or MEPS</t>
  </si>
  <si>
    <t>The building is naturally ventilated in accordance with IEQ - Indoor Environment Quality</t>
  </si>
  <si>
    <t>For mechanically air-conditioned buildings, an air pressurisation test is carried out in accordance with ASTM E779-10, ATTMA TSL1, or an equivalent standard.  
For naturally-ventilated buildings, compliance with credit IEQ-1</t>
  </si>
  <si>
    <t>F31 is a circular reference - I think it should be 16 to calculate the points</t>
  </si>
  <si>
    <t>Contract emission rate: CHW</t>
  </si>
  <si>
    <t>Contract emission rate: HHW</t>
  </si>
  <si>
    <t>Contract emission rate: DHW</t>
  </si>
  <si>
    <t>Contract emission rate: District Electricity</t>
  </si>
  <si>
    <t>Calculator Release</t>
  </si>
  <si>
    <t>Release 2 - 7/04/2015</t>
  </si>
  <si>
    <t>Summary of Changes</t>
  </si>
  <si>
    <t>Initial release.</t>
  </si>
  <si>
    <t>This calculator addresses criterion '15.A GHG Emissions Reduction - Prescriptive Pathway' and '16.B Prescriptive Pathway - Onsite Energy Generation'.</t>
  </si>
  <si>
    <t>This calculator addresses criterion '15.B GHG Emissions Reduction - NaTHERS Pathway' and '16.B Prescriptive Pathway - Onsite Energy Generation'.</t>
  </si>
  <si>
    <t>This calculator addresses criterion '15.C GHG Emissions Reduction - NABERS Energy Commitment Agreement Pathway'.</t>
  </si>
  <si>
    <t>This calculator addresses criterion '15.D GHG Emissions Reduction - Modelled Performance Pathway' and '16.A Reference Building Pathway'.</t>
  </si>
  <si>
    <t>Release 3 - 22/04/2015</t>
  </si>
  <si>
    <t>Building Total NLA (excluding car parks)</t>
  </si>
  <si>
    <t>Building NLA within NABERS Energy scope</t>
  </si>
  <si>
    <t>Green Star - Design &amp; As Built
Submission Guidelines 
Version 1.0</t>
  </si>
  <si>
    <t>Disclaimer, Authorisation and Acknowledgment</t>
  </si>
  <si>
    <t>PROPOSED BUILDING</t>
  </si>
  <si>
    <t>TOTALS</t>
  </si>
  <si>
    <t>RESULTS</t>
  </si>
  <si>
    <t>Energy Consumption Reduction</t>
  </si>
  <si>
    <t>Greenhouse Gas Emissions Reduction</t>
  </si>
  <si>
    <t>Total Points Achieved</t>
  </si>
  <si>
    <t>Total Points Available</t>
  </si>
  <si>
    <t>Results</t>
  </si>
  <si>
    <t>Renewable GHG Reduction 
(excluding GreenPower)</t>
  </si>
  <si>
    <t>Energy Consumption Reduction Points</t>
  </si>
  <si>
    <t>GHG Emissions Reduction Points</t>
  </si>
  <si>
    <t>Peak Electricity Demand Reduction</t>
  </si>
  <si>
    <t>Reference Building</t>
  </si>
  <si>
    <t>Proposed Building</t>
  </si>
  <si>
    <t>Peak electricity demand reduction</t>
  </si>
  <si>
    <t>Comments</t>
  </si>
  <si>
    <t>Proposed Building GHG 
(excluding off-site supply)</t>
  </si>
  <si>
    <t>Proposed Building GHG</t>
  </si>
  <si>
    <t>Subtotal GHG Emissions</t>
  </si>
  <si>
    <t>District Electricity (incl GreenPower)</t>
  </si>
  <si>
    <t>Release 4 - 29/04/2015</t>
  </si>
  <si>
    <t xml:space="preserve">For the '15.C Nabers Energy Path' method, amended:
     1) Terminology change from 'GFA' to 'NLA'.
</t>
  </si>
  <si>
    <t xml:space="preserve">For the '15.D Modelled Pathway' method, amended:
     1) Sum calculations under the 'Reference', 'Intermediate' and 'Design' Buildings for 'Services' to include all user inputs for 'Appliances (Class 2 only)', 'Swimming Pools', and any other services nominated by the project team; and
     2) Calculation for GHG Emissions Intensity Factor, where District Electricity is used.
</t>
  </si>
  <si>
    <t>GHG Emissions
(excl offsite supply)</t>
  </si>
  <si>
    <r>
      <t xml:space="preserve">For the '15.D Modelled Pathway' method, amended terminology, instructions and formatting to make clear the distinction between different building models used in this pathway's calculations. Please see the Calculator Guide for additional information.
For clarity, the method of calculation used in this pathway is:
     - </t>
    </r>
    <r>
      <rPr>
        <b/>
        <sz val="10"/>
        <color theme="1"/>
        <rFont val="Arial"/>
        <family val="2"/>
      </rPr>
      <t>Energy Consumption Reduction:</t>
    </r>
    <r>
      <rPr>
        <sz val="10"/>
        <color theme="1"/>
        <rFont val="Arial"/>
        <family val="2"/>
      </rPr>
      <t xml:space="preserve"> comparison between Intermediate Building and Reference Building; and
  </t>
    </r>
    <r>
      <rPr>
        <b/>
        <sz val="10"/>
        <color theme="1"/>
        <rFont val="Arial"/>
        <family val="2"/>
      </rPr>
      <t xml:space="preserve">   - Greenhouse Gas Emissions Reduction: </t>
    </r>
    <r>
      <rPr>
        <sz val="10"/>
        <color theme="1"/>
        <rFont val="Arial"/>
        <family val="2"/>
      </rPr>
      <t xml:space="preserve">comparison between Proposed Building and Benchmark Building.
</t>
    </r>
  </si>
  <si>
    <t>Annual Energy Consumption</t>
  </si>
  <si>
    <t>Release 1 - 31/10/2014</t>
  </si>
  <si>
    <t>Release 5 - 27/05/2015</t>
  </si>
  <si>
    <t xml:space="preserve">For the '15.D Modelled Pathway' method, amended:
     1) Terminology from 'Energy Demand' to 'Annual Energy Consumption' to accurately reflect the values used in calculations; and
     2) Minor calculation error in cell J37.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</si>
</sst>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b/>
      <sz val="10"/>
      <color theme="3" tint="-0.499984740745262"/>
      <name val="Arial"/>
      <family val="2"/>
    </font>
    <font>
      <sz val="10"/>
      <color theme="0"/>
      <name val="Arial"/>
      <family val="2"/>
    </font>
    <font>
      <b/>
      <sz val="10"/>
      <color theme="0"/>
      <name val="Arial"/>
      <family val="2"/>
    </font>
    <font>
      <b/>
      <sz val="12"/>
      <color theme="0"/>
      <name val="Arial"/>
      <family val="2"/>
    </font>
    <font>
      <sz val="8"/>
      <color indexed="81"/>
      <name val="Tahoma"/>
      <family val="2"/>
    </font>
    <font>
      <b/>
      <sz val="14"/>
      <color theme="0"/>
      <name val="Calibri"/>
      <family val="2"/>
      <scheme val="minor"/>
    </font>
    <font>
      <i/>
      <sz val="11"/>
      <color theme="1"/>
      <name val="Arial"/>
      <family val="2"/>
    </font>
  </fonts>
  <fills count="41">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ashDotDot">
        <color auto="1"/>
      </left>
      <right style="dashDotDot">
        <color auto="1"/>
      </right>
      <top style="dashDotDot">
        <color auto="1"/>
      </top>
      <bottom style="dashDotDot">
        <color auto="1"/>
      </bottom>
      <diagonal/>
    </border>
    <border>
      <left/>
      <right/>
      <top style="thin">
        <color indexed="64"/>
      </top>
      <bottom style="double">
        <color indexed="64"/>
      </bottom>
      <diagonal/>
    </border>
    <border>
      <left/>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thin">
        <color indexed="64"/>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7">
    <xf numFmtId="0" fontId="0" fillId="0" borderId="0"/>
    <xf numFmtId="9" fontId="5" fillId="0" borderId="0" applyFont="0" applyFill="0" applyBorder="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9" applyNumberFormat="0" applyAlignment="0" applyProtection="0"/>
    <xf numFmtId="0" fontId="18" fillId="8" borderId="10" applyNumberFormat="0" applyAlignment="0" applyProtection="0"/>
    <xf numFmtId="0" fontId="19" fillId="8" borderId="9" applyNumberFormat="0" applyAlignment="0" applyProtection="0"/>
    <xf numFmtId="0" fontId="20" fillId="0" borderId="11" applyNumberFormat="0" applyFill="0" applyAlignment="0" applyProtection="0"/>
    <xf numFmtId="0" fontId="21" fillId="9" borderId="12"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5" fillId="34" borderId="0" applyNumberFormat="0" applyBorder="0" applyAlignment="0" applyProtection="0"/>
    <xf numFmtId="0" fontId="3" fillId="0" borderId="0"/>
    <xf numFmtId="0" fontId="3" fillId="10" borderId="13" applyNumberFormat="0" applyFont="0" applyAlignment="0" applyProtection="0"/>
    <xf numFmtId="0" fontId="2" fillId="0" borderId="0"/>
    <xf numFmtId="0" fontId="29" fillId="0" borderId="0"/>
    <xf numFmtId="0" fontId="1" fillId="0" borderId="0"/>
  </cellStyleXfs>
  <cellXfs count="203">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wrapText="1"/>
    </xf>
    <xf numFmtId="0" fontId="0" fillId="3" borderId="1" xfId="0" applyFill="1" applyBorder="1"/>
    <xf numFmtId="0" fontId="0" fillId="0" borderId="0" xfId="0" applyFont="1"/>
    <xf numFmtId="0" fontId="4" fillId="0" borderId="0" xfId="0" applyFont="1" applyAlignment="1">
      <alignment vertical="center"/>
    </xf>
    <xf numFmtId="0" fontId="0" fillId="2" borderId="1" xfId="0" applyFill="1" applyBorder="1" applyProtection="1">
      <protection locked="0"/>
    </xf>
    <xf numFmtId="0" fontId="4" fillId="0" borderId="3" xfId="0" applyFont="1" applyBorder="1"/>
    <xf numFmtId="2" fontId="0" fillId="0" borderId="0" xfId="0" applyNumberFormat="1" applyAlignment="1">
      <alignment vertical="center"/>
    </xf>
    <xf numFmtId="0" fontId="0" fillId="0" borderId="0" xfId="0" applyFont="1" applyAlignment="1">
      <alignment vertical="center"/>
    </xf>
    <xf numFmtId="0" fontId="0" fillId="0" borderId="0" xfId="0" applyAlignment="1">
      <alignment vertical="center" wrapText="1"/>
    </xf>
    <xf numFmtId="0" fontId="4" fillId="0" borderId="5" xfId="0" applyFont="1" applyBorder="1"/>
    <xf numFmtId="0" fontId="0" fillId="2" borderId="1" xfId="0" applyFill="1" applyBorder="1" applyAlignment="1" applyProtection="1">
      <alignment wrapText="1"/>
      <protection locked="0"/>
    </xf>
    <xf numFmtId="0" fontId="4" fillId="3" borderId="1" xfId="0" applyFont="1" applyFill="1" applyBorder="1"/>
    <xf numFmtId="0" fontId="4" fillId="0" borderId="0" xfId="0" applyFont="1" applyAlignment="1">
      <alignment vertical="center" wrapText="1"/>
    </xf>
    <xf numFmtId="0" fontId="5" fillId="0" borderId="0" xfId="42" applyFont="1"/>
    <xf numFmtId="0" fontId="0" fillId="0" borderId="0" xfId="42" applyFont="1"/>
    <xf numFmtId="9" fontId="0" fillId="0" borderId="0" xfId="0" quotePrefix="1" applyNumberFormat="1"/>
    <xf numFmtId="0" fontId="0" fillId="0" borderId="0" xfId="0" applyAlignment="1">
      <alignment wrapText="1"/>
    </xf>
    <xf numFmtId="0" fontId="2" fillId="0" borderId="0" xfId="44"/>
    <xf numFmtId="0" fontId="2" fillId="0" borderId="0" xfId="44" applyFill="1"/>
    <xf numFmtId="0" fontId="28" fillId="0" borderId="0" xfId="44" applyFont="1" applyFill="1"/>
    <xf numFmtId="0" fontId="28" fillId="35" borderId="0" xfId="44" applyFont="1" applyFill="1"/>
    <xf numFmtId="3" fontId="30" fillId="36" borderId="16" xfId="45" applyNumberFormat="1" applyFont="1" applyFill="1" applyBorder="1" applyAlignment="1" applyProtection="1">
      <alignment horizontal="left" vertical="center" wrapText="1"/>
    </xf>
    <xf numFmtId="0" fontId="31" fillId="0" borderId="0" xfId="0" applyFont="1" applyFill="1"/>
    <xf numFmtId="2" fontId="31" fillId="0" borderId="0" xfId="0" applyNumberFormat="1" applyFont="1" applyFill="1" applyAlignment="1">
      <alignment horizontal="center"/>
    </xf>
    <xf numFmtId="0" fontId="26" fillId="0" borderId="0" xfId="0" applyFont="1" applyFill="1"/>
    <xf numFmtId="0" fontId="31" fillId="12" borderId="17" xfId="19" applyFont="1" applyBorder="1"/>
    <xf numFmtId="0" fontId="5" fillId="0" borderId="0" xfId="0" applyFont="1" applyFill="1"/>
    <xf numFmtId="0" fontId="31" fillId="0" borderId="0" xfId="0" applyFont="1" applyFill="1" applyProtection="1"/>
    <xf numFmtId="2" fontId="31" fillId="0" borderId="0" xfId="0" applyNumberFormat="1" applyFont="1" applyFill="1" applyAlignment="1" applyProtection="1">
      <alignment horizontal="center"/>
    </xf>
    <xf numFmtId="0" fontId="26" fillId="0" borderId="0" xfId="0" applyFont="1" applyFill="1" applyProtection="1"/>
    <xf numFmtId="0" fontId="31" fillId="12" borderId="17" xfId="19" applyFont="1" applyBorder="1" applyProtection="1"/>
    <xf numFmtId="0" fontId="5" fillId="0" borderId="0" xfId="0" applyFont="1" applyFill="1" applyProtection="1"/>
    <xf numFmtId="0" fontId="0" fillId="0" borderId="0" xfId="0" applyProtection="1"/>
    <xf numFmtId="0" fontId="32" fillId="37" borderId="0" xfId="18" applyFont="1" applyFill="1" applyBorder="1" applyProtection="1"/>
    <xf numFmtId="2" fontId="4" fillId="13" borderId="0" xfId="20" applyNumberFormat="1" applyFont="1" applyBorder="1" applyAlignment="1" applyProtection="1">
      <alignment horizontal="center" wrapText="1"/>
    </xf>
    <xf numFmtId="0" fontId="4" fillId="13" borderId="0" xfId="20" applyFont="1" applyBorder="1" applyProtection="1"/>
    <xf numFmtId="0" fontId="0" fillId="0" borderId="0" xfId="0" applyAlignment="1" applyProtection="1">
      <alignment wrapText="1"/>
    </xf>
    <xf numFmtId="9" fontId="0" fillId="0" borderId="0" xfId="0" applyNumberFormat="1"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Fill="1" applyBorder="1" applyAlignment="1" applyProtection="1">
      <alignment vertical="center" wrapText="1"/>
    </xf>
    <xf numFmtId="0" fontId="0" fillId="36" borderId="15" xfId="0" applyFill="1" applyBorder="1" applyAlignment="1" applyProtection="1">
      <alignment horizontal="left" vertical="center"/>
    </xf>
    <xf numFmtId="0" fontId="0" fillId="36" borderId="4" xfId="0" applyFill="1" applyBorder="1" applyAlignment="1" applyProtection="1">
      <alignment horizontal="left" vertical="center"/>
    </xf>
    <xf numFmtId="0" fontId="0" fillId="36" borderId="19" xfId="0" applyFill="1" applyBorder="1" applyAlignment="1" applyProtection="1">
      <alignment horizontal="left" vertical="center"/>
    </xf>
    <xf numFmtId="0" fontId="4" fillId="13" borderId="0" xfId="20" applyFont="1" applyBorder="1" applyAlignment="1" applyProtection="1">
      <alignment vertical="center"/>
    </xf>
    <xf numFmtId="0" fontId="0" fillId="0" borderId="0" xfId="0" applyFont="1" applyFill="1" applyProtection="1"/>
    <xf numFmtId="0" fontId="0" fillId="36" borderId="15" xfId="0" applyFill="1" applyBorder="1" applyAlignment="1" applyProtection="1">
      <alignment horizontal="center" vertical="center"/>
    </xf>
    <xf numFmtId="0" fontId="0" fillId="36" borderId="4" xfId="0" applyFill="1" applyBorder="1" applyAlignment="1" applyProtection="1">
      <alignment horizontal="center" vertical="center"/>
    </xf>
    <xf numFmtId="0" fontId="0" fillId="36" borderId="19" xfId="0" applyFill="1" applyBorder="1" applyAlignment="1" applyProtection="1">
      <alignment horizontal="center" vertical="center"/>
    </xf>
    <xf numFmtId="0" fontId="27" fillId="13" borderId="0" xfId="20" applyFont="1" applyBorder="1" applyAlignment="1" applyProtection="1">
      <alignment vertical="center"/>
    </xf>
    <xf numFmtId="0" fontId="32" fillId="37" borderId="0" xfId="18" applyFont="1" applyFill="1" applyBorder="1" applyAlignment="1" applyProtection="1">
      <alignment vertical="center"/>
    </xf>
    <xf numFmtId="0" fontId="33" fillId="0" borderId="0" xfId="18" applyFont="1" applyFill="1" applyBorder="1" applyAlignment="1" applyProtection="1">
      <alignment vertical="center"/>
    </xf>
    <xf numFmtId="0" fontId="33" fillId="0" borderId="0" xfId="18" applyFont="1" applyFill="1" applyBorder="1" applyProtection="1"/>
    <xf numFmtId="0" fontId="34" fillId="0" borderId="0" xfId="0" applyFont="1" applyProtection="1"/>
    <xf numFmtId="0" fontId="5" fillId="12" borderId="15" xfId="19" applyFont="1" applyBorder="1" applyAlignment="1" applyProtection="1">
      <alignment horizontal="center" vertical="center"/>
      <protection locked="0"/>
    </xf>
    <xf numFmtId="0" fontId="4" fillId="13" borderId="0" xfId="20" applyFont="1" applyBorder="1" applyAlignment="1">
      <alignment vertical="center"/>
    </xf>
    <xf numFmtId="9" fontId="0" fillId="0" borderId="0" xfId="0" applyNumberFormat="1" applyAlignment="1">
      <alignment vertical="center"/>
    </xf>
    <xf numFmtId="164" fontId="0" fillId="36" borderId="4" xfId="1" applyNumberFormat="1" applyFont="1" applyFill="1" applyBorder="1" applyAlignment="1" applyProtection="1">
      <alignment horizontal="center" vertical="center"/>
    </xf>
    <xf numFmtId="0" fontId="4" fillId="0" borderId="0" xfId="0" applyFont="1" applyAlignment="1" applyProtection="1">
      <alignment vertical="center"/>
    </xf>
    <xf numFmtId="0" fontId="0" fillId="0" borderId="0" xfId="0" applyAlignment="1" applyProtection="1">
      <alignment horizontal="center" vertical="center"/>
    </xf>
    <xf numFmtId="0" fontId="0" fillId="0" borderId="2" xfId="0" applyFill="1" applyBorder="1" applyAlignment="1" applyProtection="1">
      <alignment vertical="center"/>
    </xf>
    <xf numFmtId="0" fontId="0" fillId="0" borderId="0" xfId="0" applyFill="1" applyBorder="1" applyAlignment="1" applyProtection="1">
      <alignment vertical="center"/>
    </xf>
    <xf numFmtId="0" fontId="4" fillId="13" borderId="0" xfId="20" applyFont="1" applyBorder="1" applyAlignment="1" applyProtection="1">
      <alignment horizontal="center" vertical="center"/>
    </xf>
    <xf numFmtId="0" fontId="35" fillId="0" borderId="0" xfId="0" applyFont="1" applyFill="1" applyBorder="1" applyAlignment="1" applyProtection="1">
      <alignment vertical="center"/>
    </xf>
    <xf numFmtId="164" fontId="35" fillId="0" borderId="0" xfId="0" applyNumberFormat="1" applyFont="1" applyFill="1" applyBorder="1" applyAlignment="1" applyProtection="1">
      <alignment horizontal="center" vertical="center"/>
    </xf>
    <xf numFmtId="0" fontId="4" fillId="0" borderId="0" xfId="0" applyFont="1" applyAlignment="1" applyProtection="1">
      <alignment horizontal="left" vertical="center"/>
    </xf>
    <xf numFmtId="0" fontId="0" fillId="0" borderId="0" xfId="0" applyAlignment="1" applyProtection="1">
      <alignment horizontal="left" vertical="center"/>
    </xf>
    <xf numFmtId="0" fontId="4" fillId="0" borderId="18" xfId="0" applyFont="1" applyFill="1" applyBorder="1" applyAlignment="1" applyProtection="1">
      <alignment horizontal="center" vertical="center"/>
    </xf>
    <xf numFmtId="9" fontId="4" fillId="0" borderId="18" xfId="1" applyFont="1" applyFill="1" applyBorder="1" applyAlignment="1" applyProtection="1">
      <alignment horizontal="center" vertical="center"/>
    </xf>
    <xf numFmtId="0" fontId="0" fillId="0" borderId="0" xfId="0" applyAlignment="1" applyProtection="1">
      <alignment horizontal="center"/>
    </xf>
    <xf numFmtId="0" fontId="4" fillId="13" borderId="0" xfId="20" applyFont="1" applyBorder="1" applyAlignment="1" applyProtection="1">
      <alignment horizontal="center"/>
    </xf>
    <xf numFmtId="0" fontId="0" fillId="0" borderId="0" xfId="0" applyAlignment="1" applyProtection="1">
      <alignment horizontal="right"/>
    </xf>
    <xf numFmtId="0" fontId="35" fillId="38" borderId="0" xfId="20" applyFont="1" applyFill="1" applyBorder="1" applyProtection="1"/>
    <xf numFmtId="0" fontId="35" fillId="38" borderId="0" xfId="20" applyFont="1" applyFill="1" applyBorder="1" applyAlignment="1" applyProtection="1">
      <alignment horizontal="center"/>
    </xf>
    <xf numFmtId="165" fontId="0" fillId="0" borderId="0" xfId="0" applyNumberFormat="1" applyProtection="1"/>
    <xf numFmtId="9" fontId="0" fillId="0" borderId="0" xfId="0" applyNumberFormat="1" applyAlignment="1" applyProtection="1">
      <alignment vertical="center"/>
    </xf>
    <xf numFmtId="0" fontId="35" fillId="38" borderId="0" xfId="20" applyFont="1" applyFill="1" applyBorder="1" applyAlignment="1" applyProtection="1">
      <alignment vertical="center"/>
    </xf>
    <xf numFmtId="0" fontId="35" fillId="38" borderId="0" xfId="20" applyFont="1" applyFill="1" applyBorder="1" applyAlignment="1" applyProtection="1">
      <alignment horizontal="center" vertical="center"/>
    </xf>
    <xf numFmtId="165" fontId="0" fillId="0" borderId="0" xfId="0" applyNumberFormat="1" applyAlignment="1" applyProtection="1">
      <alignment vertical="center"/>
    </xf>
    <xf numFmtId="0" fontId="0" fillId="0" borderId="0" xfId="0" applyFont="1" applyAlignment="1" applyProtection="1">
      <alignment vertical="center" wrapText="1"/>
    </xf>
    <xf numFmtId="0" fontId="27" fillId="0" borderId="0" xfId="0" applyFont="1" applyFill="1" applyBorder="1" applyAlignment="1" applyProtection="1">
      <alignment horizontal="right" vertical="center"/>
    </xf>
    <xf numFmtId="164" fontId="27"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 fillId="0" borderId="18"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9" fontId="27" fillId="0" borderId="0" xfId="0" applyNumberFormat="1" applyFont="1" applyBorder="1" applyAlignment="1" applyProtection="1">
      <alignment vertical="center"/>
    </xf>
    <xf numFmtId="0" fontId="27" fillId="0" borderId="0"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wrapText="1"/>
    </xf>
    <xf numFmtId="0" fontId="27" fillId="0" borderId="0" xfId="0" applyFont="1" applyAlignment="1" applyProtection="1">
      <alignment horizontal="left" vertical="center" wrapText="1"/>
    </xf>
    <xf numFmtId="0" fontId="0" fillId="0" borderId="0" xfId="0" applyAlignment="1" applyProtection="1">
      <alignment horizontal="left" vertical="center" indent="1"/>
    </xf>
    <xf numFmtId="0" fontId="0" fillId="0" borderId="0" xfId="0" applyAlignment="1" applyProtection="1">
      <alignment horizontal="left" vertical="center" wrapText="1" indent="1"/>
    </xf>
    <xf numFmtId="0" fontId="0" fillId="0" borderId="0" xfId="0" applyFont="1" applyAlignment="1" applyProtection="1">
      <alignment vertical="center"/>
    </xf>
    <xf numFmtId="2" fontId="0" fillId="0" borderId="0" xfId="0" applyNumberFormat="1" applyAlignment="1" applyProtection="1">
      <alignment vertical="center"/>
    </xf>
    <xf numFmtId="0" fontId="4" fillId="0" borderId="0" xfId="0" applyFont="1" applyAlignment="1" applyProtection="1">
      <alignment horizontal="right"/>
    </xf>
    <xf numFmtId="0" fontId="0" fillId="0" borderId="0" xfId="0" applyAlignment="1" applyProtection="1">
      <alignment horizontal="right" vertical="center" indent="1"/>
    </xf>
    <xf numFmtId="0" fontId="4" fillId="0" borderId="0" xfId="0" applyFont="1" applyAlignment="1" applyProtection="1">
      <alignment horizontal="right" vertical="center"/>
    </xf>
    <xf numFmtId="166" fontId="0" fillId="36" borderId="4" xfId="0" applyNumberFormat="1" applyFill="1" applyBorder="1" applyAlignment="1" applyProtection="1">
      <alignment horizontal="right" vertical="center"/>
    </xf>
    <xf numFmtId="3" fontId="0" fillId="36" borderId="1" xfId="0" applyNumberFormat="1" applyFill="1" applyBorder="1" applyAlignment="1">
      <alignment horizontal="center" vertical="center"/>
    </xf>
    <xf numFmtId="0" fontId="36" fillId="37" borderId="0" xfId="0" applyFont="1" applyFill="1" applyAlignment="1">
      <alignment vertical="center" wrapText="1"/>
    </xf>
    <xf numFmtId="0" fontId="37" fillId="37" borderId="0" xfId="0" applyFont="1" applyFill="1" applyAlignment="1">
      <alignment vertical="center" wrapText="1"/>
    </xf>
    <xf numFmtId="2" fontId="0" fillId="0" borderId="0" xfId="0" applyNumberFormat="1" applyFill="1" applyBorder="1" applyAlignment="1">
      <alignment vertical="center"/>
    </xf>
    <xf numFmtId="2" fontId="4" fillId="0" borderId="0" xfId="0" applyNumberFormat="1" applyFont="1" applyFill="1" applyBorder="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4" fillId="36" borderId="1" xfId="0" applyNumberFormat="1" applyFont="1" applyFill="1" applyBorder="1" applyAlignment="1">
      <alignment horizontal="center" vertical="center"/>
    </xf>
    <xf numFmtId="0" fontId="0" fillId="0" borderId="0" xfId="0" applyAlignment="1">
      <alignment horizontal="center" vertical="center"/>
    </xf>
    <xf numFmtId="0" fontId="4" fillId="36" borderId="4" xfId="0" applyFont="1" applyFill="1" applyBorder="1" applyAlignment="1" applyProtection="1">
      <alignment horizontal="left" vertical="center"/>
    </xf>
    <xf numFmtId="0" fontId="4" fillId="0" borderId="22" xfId="0" applyFont="1" applyBorder="1" applyAlignment="1">
      <alignment vertical="center" wrapText="1"/>
    </xf>
    <xf numFmtId="0" fontId="4" fillId="36" borderId="22" xfId="0" applyFont="1" applyFill="1" applyBorder="1" applyAlignment="1">
      <alignment horizontal="center"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xf>
    <xf numFmtId="0" fontId="0" fillId="0" borderId="0" xfId="0" applyBorder="1" applyAlignment="1">
      <alignment vertical="center"/>
    </xf>
    <xf numFmtId="0" fontId="0" fillId="0" borderId="0" xfId="0" applyFont="1" applyBorder="1" applyAlignment="1">
      <alignment vertical="center" wrapText="1"/>
    </xf>
    <xf numFmtId="0" fontId="0" fillId="0" borderId="23" xfId="0" applyFont="1" applyBorder="1" applyAlignment="1">
      <alignment vertical="center"/>
    </xf>
    <xf numFmtId="0" fontId="5" fillId="12" borderId="1" xfId="19" applyFont="1" applyBorder="1" applyAlignment="1" applyProtection="1">
      <alignment horizontal="center" vertical="center"/>
      <protection locked="0"/>
    </xf>
    <xf numFmtId="0" fontId="0" fillId="0" borderId="4" xfId="0" applyBorder="1" applyAlignment="1">
      <alignment vertical="center" wrapText="1"/>
    </xf>
    <xf numFmtId="0" fontId="0" fillId="0" borderId="4" xfId="0" applyBorder="1" applyAlignment="1">
      <alignment horizontal="center" vertical="center" wrapText="1"/>
    </xf>
    <xf numFmtId="0" fontId="4" fillId="0" borderId="0" xfId="0" applyFont="1" applyAlignment="1" applyProtection="1">
      <alignment horizontal="right" vertical="center" indent="1"/>
    </xf>
    <xf numFmtId="164" fontId="0" fillId="36" borderId="4" xfId="0" applyNumberFormat="1" applyFill="1" applyBorder="1" applyAlignment="1" applyProtection="1">
      <alignment horizontal="center" vertical="center"/>
    </xf>
    <xf numFmtId="2" fontId="4" fillId="0" borderId="18" xfId="0" applyNumberFormat="1" applyFont="1" applyFill="1" applyBorder="1" applyAlignment="1" applyProtection="1">
      <alignment horizontal="center" vertical="center"/>
    </xf>
    <xf numFmtId="0" fontId="5" fillId="12" borderId="0" xfId="19" applyFont="1" applyBorder="1" applyAlignment="1" applyProtection="1">
      <alignment horizontal="center" vertical="center"/>
      <protection locked="0"/>
    </xf>
    <xf numFmtId="2" fontId="0" fillId="39" borderId="0" xfId="0" applyNumberFormat="1" applyFill="1" applyAlignment="1" applyProtection="1">
      <alignment vertical="center"/>
    </xf>
    <xf numFmtId="0" fontId="0" fillId="39" borderId="0" xfId="0" applyFill="1" applyAlignment="1" applyProtection="1">
      <alignment vertical="center"/>
    </xf>
    <xf numFmtId="9" fontId="27" fillId="0" borderId="0" xfId="1" applyFont="1" applyFill="1" applyBorder="1" applyAlignment="1" applyProtection="1">
      <alignment horizontal="center" vertical="center"/>
    </xf>
    <xf numFmtId="0" fontId="0" fillId="0" borderId="0" xfId="0" applyFill="1" applyAlignment="1" applyProtection="1">
      <alignment vertical="center"/>
    </xf>
    <xf numFmtId="0" fontId="0" fillId="0" borderId="0" xfId="0" quotePrefix="1" applyFill="1" applyAlignment="1" applyProtection="1">
      <alignment vertical="center"/>
    </xf>
    <xf numFmtId="0" fontId="37" fillId="37" borderId="16" xfId="45" applyNumberFormat="1" applyFont="1" applyFill="1" applyBorder="1" applyAlignment="1" applyProtection="1">
      <alignment horizontal="left" vertical="center" wrapText="1"/>
    </xf>
    <xf numFmtId="0" fontId="31" fillId="0" borderId="0" xfId="46" applyFont="1"/>
    <xf numFmtId="0" fontId="31" fillId="0" borderId="0" xfId="46" applyFont="1" applyAlignment="1">
      <alignment horizontal="center"/>
    </xf>
    <xf numFmtId="0" fontId="32" fillId="35" borderId="0" xfId="46" applyFont="1" applyFill="1" applyAlignment="1" applyProtection="1">
      <alignment vertical="center"/>
    </xf>
    <xf numFmtId="0" fontId="38" fillId="35" borderId="0" xfId="46" applyFont="1" applyFill="1" applyAlignment="1" applyProtection="1">
      <alignment horizontal="center"/>
    </xf>
    <xf numFmtId="0" fontId="38" fillId="35" borderId="0" xfId="46" applyFont="1" applyFill="1" applyAlignment="1" applyProtection="1"/>
    <xf numFmtId="0" fontId="0" fillId="0" borderId="16" xfId="46" applyFont="1" applyBorder="1" applyAlignment="1">
      <alignment horizontal="left" vertical="center" wrapText="1"/>
    </xf>
    <xf numFmtId="0" fontId="40" fillId="35" borderId="0" xfId="44" applyFont="1" applyFill="1" applyAlignment="1">
      <alignment vertical="center"/>
    </xf>
    <xf numFmtId="3" fontId="4" fillId="36" borderId="3" xfId="0" applyNumberFormat="1" applyFont="1" applyFill="1" applyBorder="1" applyAlignment="1">
      <alignment horizontal="center" vertical="center"/>
    </xf>
    <xf numFmtId="9" fontId="0" fillId="0" borderId="4" xfId="1" applyFont="1" applyBorder="1" applyAlignment="1">
      <alignment horizontal="center" vertical="center" wrapText="1"/>
    </xf>
    <xf numFmtId="2" fontId="0" fillId="0" borderId="4" xfId="0" applyNumberFormat="1" applyBorder="1" applyAlignment="1">
      <alignment horizontal="center" vertical="center" wrapText="1"/>
    </xf>
    <xf numFmtId="164" fontId="27" fillId="40" borderId="0" xfId="0" applyNumberFormat="1" applyFont="1" applyFill="1" applyBorder="1" applyAlignment="1" applyProtection="1">
      <alignment horizontal="center" vertical="center"/>
    </xf>
    <xf numFmtId="0" fontId="27" fillId="40" borderId="0" xfId="0" applyFont="1" applyFill="1" applyBorder="1" applyAlignment="1" applyProtection="1">
      <alignment horizontal="right" vertical="center"/>
    </xf>
    <xf numFmtId="0" fontId="27" fillId="40" borderId="0" xfId="0" applyFont="1" applyFill="1" applyAlignment="1" applyProtection="1">
      <alignment horizontal="right" vertical="center"/>
    </xf>
    <xf numFmtId="3" fontId="4" fillId="36" borderId="24" xfId="0" applyNumberFormat="1" applyFont="1" applyFill="1" applyBorder="1" applyAlignment="1">
      <alignment horizontal="center" vertical="center"/>
    </xf>
    <xf numFmtId="0" fontId="37" fillId="37" borderId="0" xfId="0" applyFont="1" applyFill="1" applyBorder="1" applyAlignment="1">
      <alignment horizontal="center" vertical="center"/>
    </xf>
    <xf numFmtId="3" fontId="4" fillId="36" borderId="20" xfId="0" applyNumberFormat="1" applyFont="1" applyFill="1" applyBorder="1" applyAlignment="1">
      <alignment horizontal="center" vertical="center"/>
    </xf>
    <xf numFmtId="0" fontId="37" fillId="37" borderId="2" xfId="0" applyFont="1" applyFill="1" applyBorder="1" applyAlignment="1">
      <alignment horizontal="center" vertical="center"/>
    </xf>
    <xf numFmtId="0" fontId="37" fillId="37" borderId="21" xfId="0" applyFont="1" applyFill="1" applyBorder="1" applyAlignment="1">
      <alignment horizontal="center" vertical="center"/>
    </xf>
    <xf numFmtId="0" fontId="4" fillId="13" borderId="2" xfId="20" applyFont="1" applyBorder="1" applyAlignment="1">
      <alignment vertical="center"/>
    </xf>
    <xf numFmtId="0" fontId="4" fillId="13" borderId="21" xfId="20" applyFont="1" applyBorder="1" applyAlignment="1">
      <alignment vertical="center"/>
    </xf>
    <xf numFmtId="3" fontId="4" fillId="36" borderId="23" xfId="0" applyNumberFormat="1" applyFont="1" applyFill="1" applyBorder="1" applyAlignment="1">
      <alignment horizontal="center" vertical="center"/>
    </xf>
    <xf numFmtId="0" fontId="5" fillId="12" borderId="23" xfId="19" applyFont="1" applyBorder="1" applyAlignment="1" applyProtection="1">
      <alignment horizontal="center" vertical="center"/>
      <protection locked="0"/>
    </xf>
    <xf numFmtId="0" fontId="5" fillId="0" borderId="1" xfId="19" applyFont="1" applyFill="1" applyBorder="1" applyAlignment="1" applyProtection="1">
      <alignment horizontal="center" vertical="center"/>
    </xf>
    <xf numFmtId="0" fontId="5" fillId="12" borderId="22" xfId="19" applyFont="1" applyBorder="1" applyAlignment="1" applyProtection="1">
      <alignment horizontal="center" vertical="center"/>
      <protection locked="0"/>
    </xf>
    <xf numFmtId="0" fontId="4" fillId="40" borderId="4" xfId="0" applyFont="1" applyFill="1" applyBorder="1" applyAlignment="1">
      <alignment vertical="center" wrapText="1"/>
    </xf>
    <xf numFmtId="0" fontId="4" fillId="40" borderId="4" xfId="0" applyFont="1" applyFill="1" applyBorder="1" applyAlignment="1">
      <alignment horizontal="center" vertical="center" wrapText="1"/>
    </xf>
    <xf numFmtId="2" fontId="4" fillId="40" borderId="4" xfId="0" applyNumberFormat="1" applyFont="1" applyFill="1" applyBorder="1" applyAlignment="1">
      <alignment horizontal="center" vertical="center" wrapText="1"/>
    </xf>
    <xf numFmtId="0" fontId="41" fillId="12" borderId="17" xfId="19" applyFont="1" applyBorder="1" applyAlignment="1">
      <alignment horizontal="center"/>
    </xf>
    <xf numFmtId="0" fontId="37" fillId="37" borderId="0" xfId="20" applyFont="1" applyFill="1" applyBorder="1" applyAlignment="1">
      <alignment vertical="center"/>
    </xf>
    <xf numFmtId="0" fontId="37" fillId="37" borderId="0" xfId="20" applyFont="1" applyFill="1" applyBorder="1" applyAlignment="1">
      <alignment horizontal="center" vertical="center"/>
    </xf>
    <xf numFmtId="9" fontId="0" fillId="0" borderId="1" xfId="1" applyFont="1" applyBorder="1" applyAlignment="1">
      <alignment horizontal="center" vertical="center"/>
    </xf>
    <xf numFmtId="14" fontId="0" fillId="12" borderId="1" xfId="19" applyNumberFormat="1" applyFont="1" applyBorder="1" applyAlignment="1" applyProtection="1">
      <alignment horizontal="center" vertical="center"/>
      <protection locked="0"/>
    </xf>
    <xf numFmtId="3" fontId="0" fillId="36" borderId="0" xfId="0" applyNumberFormat="1" applyFill="1" applyBorder="1" applyAlignment="1">
      <alignment horizontal="center" vertical="center"/>
    </xf>
    <xf numFmtId="0" fontId="0" fillId="36" borderId="0" xfId="0" applyFill="1" applyBorder="1" applyAlignment="1" applyProtection="1">
      <alignment horizontal="center" vertical="center"/>
    </xf>
    <xf numFmtId="0" fontId="0" fillId="36" borderId="25" xfId="0" applyFill="1" applyBorder="1" applyAlignment="1" applyProtection="1">
      <alignment horizontal="center" vertical="center"/>
    </xf>
    <xf numFmtId="0" fontId="4" fillId="0" borderId="0" xfId="0" applyFont="1" applyFill="1" applyBorder="1" applyAlignment="1" applyProtection="1">
      <alignment horizontal="left" vertical="center"/>
    </xf>
    <xf numFmtId="3" fontId="37" fillId="37" borderId="0" xfId="0" applyNumberFormat="1" applyFont="1" applyFill="1" applyBorder="1" applyAlignment="1">
      <alignment horizontal="center" vertical="center"/>
    </xf>
    <xf numFmtId="0" fontId="4" fillId="36" borderId="19" xfId="0" applyFont="1" applyFill="1" applyBorder="1" applyAlignment="1" applyProtection="1">
      <alignment horizontal="left" vertical="center" wrapText="1"/>
    </xf>
    <xf numFmtId="0" fontId="0" fillId="0" borderId="25" xfId="0" applyBorder="1" applyAlignment="1">
      <alignment vertical="center"/>
    </xf>
    <xf numFmtId="0" fontId="4" fillId="36" borderId="15" xfId="0" applyFont="1" applyFill="1" applyBorder="1" applyAlignment="1" applyProtection="1">
      <alignment horizontal="left" vertical="center"/>
    </xf>
    <xf numFmtId="3" fontId="37" fillId="37" borderId="0" xfId="0" applyNumberFormat="1" applyFont="1" applyFill="1" applyBorder="1" applyAlignment="1">
      <alignment horizontal="center" vertical="center"/>
    </xf>
    <xf numFmtId="3" fontId="37" fillId="37" borderId="21" xfId="0" applyNumberFormat="1" applyFont="1" applyFill="1" applyBorder="1" applyAlignment="1">
      <alignment horizontal="center" vertical="center"/>
    </xf>
    <xf numFmtId="0" fontId="0" fillId="36" borderId="26" xfId="0" applyFill="1" applyBorder="1" applyAlignment="1" applyProtection="1">
      <alignment horizontal="center" vertical="center"/>
    </xf>
    <xf numFmtId="0" fontId="0" fillId="36" borderId="27" xfId="0" applyFill="1" applyBorder="1" applyAlignment="1" applyProtection="1">
      <alignment horizontal="center" vertical="center"/>
    </xf>
    <xf numFmtId="0" fontId="0" fillId="36" borderId="23" xfId="0" applyFill="1" applyBorder="1" applyAlignment="1" applyProtection="1">
      <alignment horizontal="center" vertical="center"/>
    </xf>
    <xf numFmtId="0" fontId="0" fillId="36" borderId="22" xfId="0" applyFill="1" applyBorder="1" applyAlignment="1" applyProtection="1">
      <alignment horizontal="center" vertical="center"/>
    </xf>
    <xf numFmtId="0" fontId="0" fillId="36" borderId="28" xfId="0" applyFill="1" applyBorder="1" applyAlignment="1" applyProtection="1">
      <alignment horizontal="center" vertical="center"/>
    </xf>
    <xf numFmtId="0" fontId="0" fillId="36" borderId="29" xfId="0" applyFill="1" applyBorder="1" applyAlignment="1" applyProtection="1">
      <alignment horizontal="center" vertical="center"/>
    </xf>
    <xf numFmtId="3" fontId="37" fillId="37" borderId="21" xfId="0" applyNumberFormat="1" applyFont="1" applyFill="1" applyBorder="1" applyAlignment="1">
      <alignment horizontal="center" vertical="center" wrapText="1"/>
    </xf>
    <xf numFmtId="0" fontId="5" fillId="0" borderId="16" xfId="46" applyFont="1" applyBorder="1" applyAlignment="1">
      <alignment horizontal="left" vertical="center"/>
    </xf>
    <xf numFmtId="14" fontId="30" fillId="36" borderId="16" xfId="45" applyNumberFormat="1" applyFont="1" applyFill="1" applyBorder="1" applyAlignment="1" applyProtection="1">
      <alignment horizontal="left" vertical="center" wrapText="1"/>
    </xf>
    <xf numFmtId="0" fontId="37" fillId="37" borderId="16" xfId="45" applyNumberFormat="1" applyFont="1" applyFill="1" applyBorder="1" applyAlignment="1" applyProtection="1">
      <alignment horizontal="center" vertical="center" wrapText="1"/>
    </xf>
    <xf numFmtId="0" fontId="37" fillId="37" borderId="0" xfId="0" applyFont="1" applyFill="1" applyBorder="1" applyAlignment="1">
      <alignment horizontal="left" vertical="center" wrapText="1"/>
    </xf>
    <xf numFmtId="0" fontId="37" fillId="37" borderId="2" xfId="0" applyFont="1" applyFill="1" applyBorder="1" applyAlignment="1">
      <alignment horizontal="center" vertical="center"/>
    </xf>
    <xf numFmtId="0" fontId="37" fillId="37" borderId="0" xfId="0" applyFont="1" applyFill="1" applyBorder="1" applyAlignment="1">
      <alignment horizontal="center" vertical="center"/>
    </xf>
    <xf numFmtId="0" fontId="37" fillId="37" borderId="21" xfId="0" applyFont="1" applyFill="1" applyBorder="1" applyAlignment="1">
      <alignment horizontal="center" vertical="center"/>
    </xf>
    <xf numFmtId="0" fontId="37" fillId="37" borderId="15" xfId="20" applyFont="1" applyFill="1" applyBorder="1" applyAlignment="1">
      <alignment horizontal="center" vertical="center"/>
    </xf>
    <xf numFmtId="3" fontId="37" fillId="37" borderId="2" xfId="0" applyNumberFormat="1" applyFont="1" applyFill="1" applyBorder="1" applyAlignment="1">
      <alignment horizontal="center" vertical="center"/>
    </xf>
    <xf numFmtId="3" fontId="37" fillId="37" borderId="21" xfId="0" applyNumberFormat="1" applyFont="1" applyFill="1" applyBorder="1" applyAlignment="1">
      <alignment horizontal="center" vertical="center"/>
    </xf>
    <xf numFmtId="3" fontId="37" fillId="37" borderId="0" xfId="0" applyNumberFormat="1" applyFont="1" applyFill="1" applyBorder="1" applyAlignment="1">
      <alignment horizontal="center" vertical="center"/>
    </xf>
    <xf numFmtId="0" fontId="4" fillId="0" borderId="0" xfId="0" applyFont="1" applyAlignment="1">
      <alignment horizontal="center"/>
    </xf>
    <xf numFmtId="0" fontId="0" fillId="0" borderId="0" xfId="0" applyAlignment="1">
      <alignment wrapText="1"/>
    </xf>
    <xf numFmtId="0" fontId="0" fillId="0" borderId="15" xfId="0" applyBorder="1" applyAlignment="1">
      <alignment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7" fillId="37" borderId="2" xfId="0" applyFont="1" applyFill="1" applyBorder="1" applyAlignment="1">
      <alignment horizontal="center" vertical="center" wrapText="1"/>
    </xf>
    <xf numFmtId="0" fontId="37" fillId="37" borderId="0" xfId="0" applyFont="1" applyFill="1" applyBorder="1" applyAlignment="1">
      <alignment horizontal="center" vertical="center" wrapText="1"/>
    </xf>
    <xf numFmtId="3" fontId="37" fillId="37" borderId="2" xfId="0" applyNumberFormat="1" applyFont="1" applyFill="1" applyBorder="1"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cellStyle name="Normal 3" xfId="44"/>
    <cellStyle name="Normal 3 2" xfId="46"/>
    <cellStyle name="Normal_healthcare edit.xls" xfId="45"/>
    <cellStyle name="Note 2" xfId="43"/>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5">
    <dxf>
      <fill>
        <patternFill>
          <bgColor theme="5" tint="0.39994506668294322"/>
        </patternFill>
      </fill>
    </dxf>
    <dxf>
      <fill>
        <patternFill>
          <bgColor theme="5" tint="0.39994506668294322"/>
        </patternFill>
      </fill>
    </dxf>
    <dxf>
      <fill>
        <patternFill>
          <bgColor theme="5" tint="0.39994506668294322"/>
        </patternFill>
      </fill>
    </dxf>
    <dxf>
      <font>
        <color theme="0"/>
      </font>
      <fill>
        <patternFill patternType="none">
          <bgColor auto="1"/>
        </patternFill>
      </fill>
      <border>
        <left/>
        <right/>
        <bottom/>
        <vertical/>
        <horizontal/>
      </border>
    </dxf>
    <dxf>
      <font>
        <color theme="0"/>
      </font>
      <fill>
        <patternFill patternType="none">
          <bgColor auto="1"/>
        </patternFill>
      </fill>
      <border>
        <left/>
        <right/>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28584</xdr:rowOff>
    </xdr:from>
    <xdr:to>
      <xdr:col>15</xdr:col>
      <xdr:colOff>0</xdr:colOff>
      <xdr:row>40</xdr:row>
      <xdr:rowOff>140813</xdr:rowOff>
    </xdr:to>
    <xdr:sp macro="" textlink="">
      <xdr:nvSpPr>
        <xdr:cNvPr id="2" name="TextBox 1"/>
        <xdr:cNvSpPr txBox="1"/>
      </xdr:nvSpPr>
      <xdr:spPr>
        <a:xfrm>
          <a:off x="397565" y="2761845"/>
          <a:ext cx="8580783" cy="506522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900">
              <a:solidFill>
                <a:schemeClr val="dk1"/>
              </a:solidFill>
              <a:effectLst/>
              <a:latin typeface="Arial" panose="020B0604020202020204" pitchFamily="34" charset="0"/>
              <a:ea typeface="+mn-ea"/>
              <a:cs typeface="Arial" panose="020B0604020202020204" pitchFamily="34" charset="0"/>
            </a:rPr>
            <a:t>The Green Star sustainability rating system for buildings (“Green Star”) and the Green Star - Design &amp; As Built rating tool v1 (“Green Star – Design &amp; As Built”) have been developed by the Green Building Council of Australia (“GBCA”).  Green Star - Design &amp; As Built evaluates sustainability outcomes for the design and construction of all types of buildings (with the exception of single detached dwellings). It is intended for use by stakeholders including project team members as a guide for green and sustainable existing building operations. As with all Green Star rating tools, Green Star - Design &amp; As Built may be subject to further development in the future. </a:t>
          </a:r>
        </a:p>
        <a:p>
          <a:endParaRPr lang="en-AU" sz="900">
            <a:effectLst/>
            <a:latin typeface="Arial" panose="020B0604020202020204" pitchFamily="34" charset="0"/>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have been developed with the assistance and participation of representatives from many organisations. The GBCA authorises you to view and use Green Star - Design &amp; As Built for your individual use only. In exchange for this authorisation, you agree that the GBCA retains all copyright and other proprietary rights contained in and in relation to Green Star - Design &amp; As Built and agree not to sell, modify, or use for another purpose all or any part of the tool or to reproduce, display or distribute the tool in any way for any public or commercial purpose, including display on a website or in a networked environment. Unauthorised use of Green Star and/or Green Star - Design &amp; As Built will violate copyright and other laws, and is prohibited. All text, graphics, layout and other elements of content contained in Green Star and its rating tools are owned by the GBCA and are protected by copyright, trade mark and other laws.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Design &amp; As Built, or for any injuries, losses or damages (including, without limitation, equitable relief and economic loss) arising out of such use or reliance.</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are no substitute for professional advice.  You should seek your own professional and other appropriate advice on the matters addressed by them.</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Design &amp; As Built.</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GBCA does not endorse any self-assessed Green Star rating achieved by the use of Green Star – Design &amp; As Built. The GBCA offers a formal certification process for 4 Star ratings and above; this service provides for independent third-party review of points claimed to ensure all points can be demonstrated to be achieved by the provision of the necessary documentary evidence.  The use of Green Star - Design &amp; As Built without formal certification by the GBCA does not entitle the user or any other party to promote the Green Star rating claimed to have been achieved.</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application of Green Star - Design &amp; As Built to the design and construction of all types of buildings (with the exception of single detached dwellings) is encouraged to assess and improve their sustainability outcomes. However, formal recognition of the Green Star rating – and the right to promote same – requires undertaking the formal certification process offered by the GBCA.</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You are only authorised to proceed to use Green Star and Green Star - Design &amp; As Built on this basis.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All rights reserved.</a:t>
          </a:r>
          <a:endParaRPr lang="en-AU" sz="900">
            <a:effectLst/>
            <a:latin typeface="Arial" panose="020B0604020202020204" pitchFamily="34" charset="0"/>
            <a:cs typeface="Arial" panose="020B0604020202020204" pitchFamily="34" charset="0"/>
          </a:endParaRPr>
        </a:p>
      </xdr:txBody>
    </xdr:sp>
    <xdr:clientData/>
  </xdr:twoCellAnchor>
  <xdr:oneCellAnchor>
    <xdr:from>
      <xdr:col>1</xdr:col>
      <xdr:colOff>69160</xdr:colOff>
      <xdr:row>1</xdr:row>
      <xdr:rowOff>38100</xdr:rowOff>
    </xdr:from>
    <xdr:ext cx="8420100" cy="2105025"/>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228600"/>
          <a:ext cx="8420100" cy="21050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1</xdr:row>
      <xdr:rowOff>47625</xdr:rowOff>
    </xdr:from>
    <xdr:ext cx="8420100" cy="2105025"/>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228600"/>
          <a:ext cx="8420100" cy="2105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6</xdr:col>
      <xdr:colOff>132830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4" cy="2107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18</xdr:col>
      <xdr:colOff>37582</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180975"/>
          <a:ext cx="8429105" cy="21072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5</xdr:col>
      <xdr:colOff>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5" cy="2107276"/>
        </a:xfrm>
        <a:prstGeom prst="rect">
          <a:avLst/>
        </a:prstGeom>
      </xdr:spPr>
    </xdr:pic>
    <xdr:clientData/>
  </xdr:twoCellAnchor>
  <xdr:twoCellAnchor>
    <xdr:from>
      <xdr:col>5</xdr:col>
      <xdr:colOff>466725</xdr:colOff>
      <xdr:row>27</xdr:row>
      <xdr:rowOff>209550</xdr:rowOff>
    </xdr:from>
    <xdr:to>
      <xdr:col>6</xdr:col>
      <xdr:colOff>171450</xdr:colOff>
      <xdr:row>29</xdr:row>
      <xdr:rowOff>209550</xdr:rowOff>
    </xdr:to>
    <xdr:cxnSp macro="">
      <xdr:nvCxnSpPr>
        <xdr:cNvPr id="6" name="Straight Arrow Connector 5"/>
        <xdr:cNvCxnSpPr/>
      </xdr:nvCxnSpPr>
      <xdr:spPr>
        <a:xfrm flipH="1">
          <a:off x="8982075" y="8048625"/>
          <a:ext cx="314325" cy="457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6</xdr:col>
      <xdr:colOff>1066281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5" cy="21072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9</xdr:col>
      <xdr:colOff>94731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180975"/>
          <a:ext cx="8429105" cy="21072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eenhouse%20Gas%20Emissions%20Calculator_release%202_0704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C NABERS Energy Path"/>
      <sheetName val="15.D Modelled Path"/>
      <sheetName val="Multiple Path Calcs"/>
      <sheetName val="Synthetic GHG"/>
      <sheetName val="Reference"/>
    </sheetNames>
    <sheetDataSet>
      <sheetData sheetId="0"/>
      <sheetData sheetId="1"/>
      <sheetData sheetId="2"/>
      <sheetData sheetId="3"/>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sheetData sheetId="7"/>
      <sheetData sheetId="8">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S18"/>
  <sheetViews>
    <sheetView showGridLines="0" showRowColHeaders="0" tabSelected="1" zoomScale="115" zoomScaleNormal="115" workbookViewId="0">
      <selection activeCell="B13" sqref="B13"/>
    </sheetView>
  </sheetViews>
  <sheetFormatPr defaultRowHeight="15" x14ac:dyDescent="0.25"/>
  <cols>
    <col min="1" max="1" width="3.42578125" style="20" customWidth="1"/>
    <col min="2" max="16384" width="9.140625" style="20"/>
  </cols>
  <sheetData>
    <row r="11" spans="2:19" x14ac:dyDescent="0.25">
      <c r="P11" s="21"/>
      <c r="Q11" s="21"/>
      <c r="R11" s="21"/>
      <c r="S11" s="21"/>
    </row>
    <row r="12" spans="2:19" ht="19.5" customHeight="1" x14ac:dyDescent="0.25">
      <c r="P12" s="21"/>
      <c r="Q12" s="21"/>
      <c r="R12" s="21"/>
      <c r="S12" s="21"/>
    </row>
    <row r="13" spans="2:19" ht="30" customHeight="1" x14ac:dyDescent="0.25">
      <c r="B13" s="139" t="s">
        <v>313</v>
      </c>
      <c r="C13" s="23"/>
      <c r="D13" s="23"/>
      <c r="E13" s="23"/>
      <c r="F13" s="23"/>
      <c r="G13" s="23"/>
      <c r="H13" s="23"/>
      <c r="I13" s="23"/>
      <c r="J13" s="23"/>
      <c r="K13" s="23"/>
      <c r="L13" s="23"/>
      <c r="M13" s="23"/>
      <c r="N13" s="23"/>
      <c r="O13" s="23"/>
      <c r="P13" s="22"/>
      <c r="Q13" s="22"/>
      <c r="R13" s="22"/>
      <c r="S13" s="21"/>
    </row>
    <row r="14" spans="2:19" x14ac:dyDescent="0.25">
      <c r="P14" s="21"/>
      <c r="Q14" s="21"/>
      <c r="R14" s="21"/>
      <c r="S14" s="21"/>
    </row>
    <row r="15" spans="2:19" x14ac:dyDescent="0.25">
      <c r="P15" s="21"/>
      <c r="Q15" s="21"/>
      <c r="R15" s="21"/>
      <c r="S15" s="21"/>
    </row>
    <row r="16" spans="2:19" x14ac:dyDescent="0.25">
      <c r="P16" s="21"/>
      <c r="Q16" s="21"/>
      <c r="R16" s="21"/>
      <c r="S16" s="21"/>
    </row>
    <row r="17" spans="16:19" x14ac:dyDescent="0.25">
      <c r="P17" s="21"/>
      <c r="Q17" s="21"/>
      <c r="R17" s="21"/>
      <c r="S17" s="21"/>
    </row>
    <row r="18" spans="16:19" x14ac:dyDescent="0.25">
      <c r="P18" s="21"/>
      <c r="Q18" s="21"/>
      <c r="R18" s="21"/>
      <c r="S18" s="21"/>
    </row>
  </sheetData>
  <sheetProtection password="E6B1" sheet="1" objects="1" scenarios="1" selectLockedCells="1" selectUnlockedCells="1"/>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showGridLines="0" showRowColHeaders="0" workbookViewId="0">
      <selection activeCell="D17" sqref="D17"/>
    </sheetView>
  </sheetViews>
  <sheetFormatPr defaultRowHeight="14.25" x14ac:dyDescent="0.2"/>
  <cols>
    <col min="1" max="1" width="5.28515625" style="133" customWidth="1"/>
    <col min="2" max="2" width="28.28515625" style="133" customWidth="1"/>
    <col min="3" max="3" width="25" style="134" customWidth="1"/>
    <col min="4" max="4" width="78.140625" style="133" customWidth="1"/>
    <col min="5" max="16384" width="9.140625" style="133"/>
  </cols>
  <sheetData>
    <row r="2" spans="2:4" ht="18" customHeight="1" x14ac:dyDescent="0.2"/>
    <row r="14" spans="2:4" ht="33.75" customHeight="1" x14ac:dyDescent="0.25">
      <c r="B14" s="135" t="s">
        <v>274</v>
      </c>
      <c r="C14" s="136"/>
      <c r="D14" s="137"/>
    </row>
    <row r="16" spans="2:4" ht="22.5" customHeight="1" x14ac:dyDescent="0.2">
      <c r="B16" s="184" t="s">
        <v>312</v>
      </c>
      <c r="C16" s="132" t="s">
        <v>301</v>
      </c>
      <c r="D16" s="132" t="s">
        <v>303</v>
      </c>
    </row>
    <row r="17" spans="2:4" ht="63.75" x14ac:dyDescent="0.2">
      <c r="B17" s="184"/>
      <c r="C17" s="138" t="s">
        <v>341</v>
      </c>
      <c r="D17" s="138" t="s">
        <v>342</v>
      </c>
    </row>
    <row r="18" spans="2:4" ht="127.5" x14ac:dyDescent="0.2">
      <c r="B18" s="184"/>
      <c r="C18" s="138" t="s">
        <v>334</v>
      </c>
      <c r="D18" s="138" t="s">
        <v>338</v>
      </c>
    </row>
    <row r="19" spans="2:4" ht="38.25" x14ac:dyDescent="0.2">
      <c r="B19" s="184"/>
      <c r="C19" s="138" t="s">
        <v>309</v>
      </c>
      <c r="D19" s="138" t="s">
        <v>335</v>
      </c>
    </row>
    <row r="20" spans="2:4" ht="76.5" x14ac:dyDescent="0.2">
      <c r="B20" s="184"/>
      <c r="C20" s="182" t="s">
        <v>302</v>
      </c>
      <c r="D20" s="138" t="s">
        <v>336</v>
      </c>
    </row>
    <row r="21" spans="2:4" ht="22.5" customHeight="1" x14ac:dyDescent="0.2">
      <c r="B21" s="184"/>
      <c r="C21" s="183" t="s">
        <v>340</v>
      </c>
      <c r="D21" s="24" t="s">
        <v>304</v>
      </c>
    </row>
  </sheetData>
  <sheetProtection password="E6B1" sheet="1" objects="1" scenarios="1" selectLockedCells="1" selectUnlockedCells="1"/>
  <mergeCells count="1">
    <mergeCell ref="B16: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52"/>
  <sheetViews>
    <sheetView showGridLines="0" zoomScaleNormal="100" workbookViewId="0">
      <selection activeCell="D12" sqref="D12"/>
    </sheetView>
  </sheetViews>
  <sheetFormatPr defaultRowHeight="12.75" x14ac:dyDescent="0.2"/>
  <cols>
    <col min="1" max="1" width="1.42578125" style="35" customWidth="1"/>
    <col min="2" max="2" width="77.28515625" style="35" customWidth="1"/>
    <col min="3" max="3" width="12.85546875" style="35" customWidth="1"/>
    <col min="4" max="4" width="34.28515625" style="35" customWidth="1"/>
    <col min="5" max="6" width="9.140625" style="35" hidden="1" customWidth="1"/>
    <col min="7" max="16384" width="9.140625" style="35"/>
  </cols>
  <sheetData>
    <row r="1" spans="2:6" s="30" customFormat="1" ht="14.25" x14ac:dyDescent="0.2">
      <c r="E1" s="31"/>
    </row>
    <row r="2" spans="2:6" s="30" customFormat="1" ht="103.5" customHeight="1" x14ac:dyDescent="0.35">
      <c r="B2" s="32"/>
      <c r="C2" s="32"/>
      <c r="E2" s="31"/>
    </row>
    <row r="3" spans="2:6" s="30" customFormat="1" ht="72.75" customHeight="1" x14ac:dyDescent="0.35">
      <c r="B3" s="32"/>
      <c r="C3" s="32"/>
      <c r="E3" s="31"/>
    </row>
    <row r="4" spans="2:6" s="30" customFormat="1" ht="9.75" customHeight="1" x14ac:dyDescent="0.35">
      <c r="B4" s="32"/>
      <c r="C4" s="32"/>
      <c r="E4" s="31"/>
    </row>
    <row r="5" spans="2:6" s="30" customFormat="1" ht="14.25" x14ac:dyDescent="0.2">
      <c r="B5" s="33" t="s">
        <v>275</v>
      </c>
      <c r="D5" s="48" t="s">
        <v>277</v>
      </c>
      <c r="E5" s="31"/>
    </row>
    <row r="7" spans="2:6" x14ac:dyDescent="0.2">
      <c r="B7" s="56" t="s">
        <v>305</v>
      </c>
      <c r="C7" s="56"/>
      <c r="D7" s="56"/>
    </row>
    <row r="9" spans="2:6" ht="25.5" customHeight="1" x14ac:dyDescent="0.4">
      <c r="B9" s="54" t="s">
        <v>255</v>
      </c>
      <c r="C9" s="54"/>
      <c r="D9" s="55"/>
      <c r="E9" s="36"/>
      <c r="F9" s="36"/>
    </row>
    <row r="10" spans="2:6" ht="24.75" customHeight="1" x14ac:dyDescent="0.25">
      <c r="B10" s="53" t="s">
        <v>221</v>
      </c>
      <c r="C10" s="53"/>
      <c r="D10" s="36"/>
      <c r="E10" s="37"/>
      <c r="F10" s="38"/>
    </row>
    <row r="11" spans="2:6" ht="18" customHeight="1" x14ac:dyDescent="0.2">
      <c r="B11" s="38" t="s">
        <v>292</v>
      </c>
      <c r="C11" s="38"/>
      <c r="D11" s="38"/>
      <c r="E11" s="38"/>
      <c r="F11" s="38"/>
    </row>
    <row r="12" spans="2:6" s="41" customFormat="1" ht="30" customHeight="1" x14ac:dyDescent="0.2">
      <c r="B12" s="42" t="s">
        <v>114</v>
      </c>
      <c r="C12" s="42"/>
      <c r="D12" s="57"/>
    </row>
    <row r="13" spans="2:6" ht="18" customHeight="1" x14ac:dyDescent="0.2">
      <c r="B13" s="38" t="s">
        <v>160</v>
      </c>
      <c r="C13" s="38"/>
      <c r="D13" s="38"/>
      <c r="E13" s="38"/>
      <c r="F13" s="38"/>
    </row>
    <row r="14" spans="2:6" s="41" customFormat="1" ht="30" customHeight="1" x14ac:dyDescent="0.2">
      <c r="B14" s="42" t="s">
        <v>232</v>
      </c>
      <c r="C14" s="42"/>
      <c r="D14" s="57"/>
    </row>
    <row r="15" spans="2:6" ht="18" customHeight="1" x14ac:dyDescent="0.2">
      <c r="B15" s="38" t="s">
        <v>161</v>
      </c>
      <c r="C15" s="38"/>
      <c r="D15" s="38"/>
      <c r="E15" s="38"/>
      <c r="F15" s="38"/>
    </row>
    <row r="16" spans="2:6" s="41" customFormat="1" ht="30" customHeight="1" x14ac:dyDescent="0.2">
      <c r="B16" s="42" t="s">
        <v>233</v>
      </c>
      <c r="C16" s="42"/>
      <c r="D16" s="57"/>
    </row>
    <row r="17" spans="2:6" s="41" customFormat="1" ht="30" customHeight="1" x14ac:dyDescent="0.2">
      <c r="B17" s="42" t="s">
        <v>234</v>
      </c>
      <c r="C17" s="42"/>
      <c r="D17" s="57"/>
    </row>
    <row r="18" spans="2:6" ht="18" customHeight="1" x14ac:dyDescent="0.2">
      <c r="B18" s="38" t="s">
        <v>11</v>
      </c>
      <c r="C18" s="38"/>
      <c r="D18" s="38"/>
      <c r="E18" s="38"/>
      <c r="F18" s="38"/>
    </row>
    <row r="19" spans="2:6" s="41" customFormat="1" ht="30" customHeight="1" x14ac:dyDescent="0.2">
      <c r="B19" s="42" t="s">
        <v>235</v>
      </c>
      <c r="C19" s="42"/>
      <c r="D19" s="57"/>
    </row>
    <row r="20" spans="2:6" s="41" customFormat="1" ht="30" customHeight="1" x14ac:dyDescent="0.2">
      <c r="B20" s="42" t="s">
        <v>162</v>
      </c>
      <c r="C20" s="42"/>
      <c r="D20" s="57"/>
    </row>
    <row r="21" spans="2:6" s="41" customFormat="1" ht="30" customHeight="1" x14ac:dyDescent="0.2">
      <c r="B21" s="42" t="s">
        <v>163</v>
      </c>
      <c r="C21" s="42"/>
      <c r="D21" s="57"/>
    </row>
    <row r="22" spans="2:6" ht="18" customHeight="1" x14ac:dyDescent="0.2">
      <c r="B22" s="38" t="s">
        <v>9</v>
      </c>
      <c r="C22" s="38"/>
      <c r="D22" s="38"/>
      <c r="E22" s="38"/>
      <c r="F22" s="38"/>
    </row>
    <row r="23" spans="2:6" s="41" customFormat="1" ht="30" customHeight="1" x14ac:dyDescent="0.2">
      <c r="B23" s="42" t="s">
        <v>236</v>
      </c>
      <c r="C23" s="42"/>
      <c r="D23" s="57"/>
    </row>
    <row r="24" spans="2:6" s="41" customFormat="1" ht="30" customHeight="1" x14ac:dyDescent="0.2">
      <c r="B24" s="42" t="s">
        <v>237</v>
      </c>
      <c r="C24" s="42"/>
      <c r="D24" s="57"/>
    </row>
    <row r="25" spans="2:6" s="41" customFormat="1" ht="30" customHeight="1" x14ac:dyDescent="0.2">
      <c r="B25" s="42" t="s">
        <v>238</v>
      </c>
      <c r="C25" s="42"/>
      <c r="D25" s="57"/>
    </row>
    <row r="26" spans="2:6" s="41" customFormat="1" ht="45" customHeight="1" x14ac:dyDescent="0.2">
      <c r="B26" s="42" t="s">
        <v>293</v>
      </c>
      <c r="C26" s="42"/>
      <c r="D26" s="57"/>
    </row>
    <row r="27" spans="2:6" s="41" customFormat="1" ht="45" customHeight="1" x14ac:dyDescent="0.2">
      <c r="B27" s="42" t="s">
        <v>294</v>
      </c>
      <c r="C27" s="42"/>
      <c r="D27" s="126"/>
    </row>
    <row r="28" spans="2:6" ht="18" customHeight="1" x14ac:dyDescent="0.2">
      <c r="B28" s="38" t="s">
        <v>155</v>
      </c>
      <c r="C28" s="38"/>
      <c r="D28" s="38"/>
      <c r="E28" s="38"/>
      <c r="F28" s="38"/>
    </row>
    <row r="29" spans="2:6" s="41" customFormat="1" ht="45" customHeight="1" x14ac:dyDescent="0.2">
      <c r="B29" s="42" t="s">
        <v>164</v>
      </c>
      <c r="C29" s="42"/>
      <c r="D29" s="57"/>
    </row>
    <row r="30" spans="2:6" ht="18" customHeight="1" x14ac:dyDescent="0.2">
      <c r="B30" s="43" t="s">
        <v>165</v>
      </c>
      <c r="C30" s="43"/>
      <c r="D30" s="57"/>
    </row>
    <row r="32" spans="2:6" ht="18" customHeight="1" x14ac:dyDescent="0.2">
      <c r="B32" s="38" t="s">
        <v>256</v>
      </c>
      <c r="C32" s="38"/>
      <c r="D32" s="38"/>
      <c r="E32" s="38"/>
      <c r="F32" s="38"/>
    </row>
    <row r="33" spans="2:6" ht="18" customHeight="1" x14ac:dyDescent="0.2">
      <c r="B33" s="44" t="s">
        <v>160</v>
      </c>
      <c r="C33" s="44"/>
      <c r="D33" s="49">
        <f>IF(D14="Yes",1,0)</f>
        <v>0</v>
      </c>
    </row>
    <row r="34" spans="2:6" ht="18" customHeight="1" x14ac:dyDescent="0.2">
      <c r="B34" s="45" t="s">
        <v>161</v>
      </c>
      <c r="C34" s="45"/>
      <c r="D34" s="50">
        <f>IF(AND(D16="Yes",OR(D17="Yes",D17="NA")),1,0)</f>
        <v>0</v>
      </c>
    </row>
    <row r="35" spans="2:6" ht="18" customHeight="1" x14ac:dyDescent="0.2">
      <c r="B35" s="45" t="s">
        <v>11</v>
      </c>
      <c r="C35" s="45"/>
      <c r="D35" s="50">
        <f>IF(D21="NA",IF(AND(D19="Yes",D20="Yes"),1,0),IF(AND(D19="Yes",D20="Yes",D21="Yes"),1,0))</f>
        <v>0</v>
      </c>
    </row>
    <row r="36" spans="2:6" ht="18" customHeight="1" x14ac:dyDescent="0.2">
      <c r="B36" s="45" t="s">
        <v>9</v>
      </c>
      <c r="C36" s="45"/>
      <c r="D36" s="50">
        <f>IF(COUNTIF(D23:D27,"&lt;&gt;NA")&lt;&gt;0,IF(COUNTIF(D23:D27,"Yes")=COUNTIF(D23:D27,"&lt;&gt;NA"),1,0),0)</f>
        <v>0</v>
      </c>
    </row>
    <row r="37" spans="2:6" ht="18" customHeight="1" x14ac:dyDescent="0.2">
      <c r="B37" s="46" t="s">
        <v>155</v>
      </c>
      <c r="C37" s="46"/>
      <c r="D37" s="51">
        <f>IF(COUNTIF(D29:D30,"&lt;&gt;NA")&lt;&gt;0,IF(COUNTIF(D29:D30,"Yes")=COUNTIF(D29:D30,"&lt;&gt;NA"),1,0),0)</f>
        <v>0</v>
      </c>
    </row>
    <row r="38" spans="2:6" ht="18" customHeight="1" thickBot="1" x14ac:dyDescent="0.25">
      <c r="B38" s="87" t="s">
        <v>52</v>
      </c>
      <c r="C38" s="87"/>
      <c r="D38" s="70">
        <f>SUM(D33:D37)</f>
        <v>0</v>
      </c>
    </row>
    <row r="39" spans="2:6" ht="18" customHeight="1" thickTop="1" thickBot="1" x14ac:dyDescent="0.25">
      <c r="B39" s="87" t="s">
        <v>166</v>
      </c>
      <c r="C39" s="87"/>
      <c r="D39" s="70">
        <v>5</v>
      </c>
    </row>
    <row r="40" spans="2:6" ht="13.5" thickTop="1" x14ac:dyDescent="0.2"/>
    <row r="42" spans="2:6" ht="24.75" customHeight="1" x14ac:dyDescent="0.4">
      <c r="B42" s="54" t="s">
        <v>279</v>
      </c>
      <c r="C42" s="54"/>
      <c r="D42" s="55"/>
      <c r="E42" s="37"/>
      <c r="F42" s="38"/>
    </row>
    <row r="43" spans="2:6" ht="16.5" customHeight="1" x14ac:dyDescent="0.25">
      <c r="B43" s="53"/>
      <c r="C43" s="53"/>
      <c r="D43" s="36"/>
      <c r="E43" s="37"/>
      <c r="F43" s="38"/>
    </row>
    <row r="44" spans="2:6" ht="18" customHeight="1" x14ac:dyDescent="0.2">
      <c r="B44" s="43" t="s">
        <v>225</v>
      </c>
      <c r="C44" s="43"/>
      <c r="D44" s="57"/>
      <c r="E44" s="35" t="s">
        <v>222</v>
      </c>
    </row>
    <row r="45" spans="2:6" ht="18" customHeight="1" x14ac:dyDescent="0.2">
      <c r="B45" s="43" t="s">
        <v>223</v>
      </c>
      <c r="C45" s="43"/>
      <c r="D45" s="57"/>
      <c r="E45" s="35" t="s">
        <v>222</v>
      </c>
    </row>
    <row r="47" spans="2:6" s="41" customFormat="1" ht="18" customHeight="1" thickBot="1" x14ac:dyDescent="0.25">
      <c r="B47" s="87" t="s">
        <v>224</v>
      </c>
      <c r="C47" s="87"/>
      <c r="D47" s="70">
        <f>IFERROR(D45/D44,0)</f>
        <v>0</v>
      </c>
      <c r="E47" s="87" t="s">
        <v>278</v>
      </c>
    </row>
    <row r="48" spans="2:6" ht="13.5" thickTop="1" x14ac:dyDescent="0.2"/>
    <row r="49" spans="2:6" ht="18" customHeight="1" x14ac:dyDescent="0.2">
      <c r="B49" s="47" t="s">
        <v>256</v>
      </c>
      <c r="C49" s="47"/>
      <c r="D49" s="47"/>
      <c r="E49" s="47"/>
      <c r="F49" s="47"/>
    </row>
    <row r="50" spans="2:6" ht="18" customHeight="1" thickBot="1" x14ac:dyDescent="0.25">
      <c r="B50" s="87" t="s">
        <v>52</v>
      </c>
      <c r="C50" s="87"/>
      <c r="D50" s="70">
        <f>IF(D47&gt;F50,D51,0)</f>
        <v>0</v>
      </c>
      <c r="F50" s="40">
        <v>0.15</v>
      </c>
    </row>
    <row r="51" spans="2:6" ht="18" customHeight="1" thickTop="1" thickBot="1" x14ac:dyDescent="0.25">
      <c r="B51" s="87" t="s">
        <v>166</v>
      </c>
      <c r="C51" s="87"/>
      <c r="D51" s="70">
        <v>1</v>
      </c>
    </row>
    <row r="52" spans="2:6" ht="13.5" thickTop="1" x14ac:dyDescent="0.2"/>
  </sheetData>
  <sheetProtection password="E6B1" sheet="1" objects="1" scenarios="1"/>
  <conditionalFormatting sqref="B23:D26 B29:D29">
    <cfRule type="expression" dxfId="4" priority="2">
      <formula>$D$12="natural ventilation"</formula>
    </cfRule>
  </conditionalFormatting>
  <conditionalFormatting sqref="B30:D30 B27:D27">
    <cfRule type="expression" dxfId="3" priority="1">
      <formula>$D$12="mechanical cooling"</formula>
    </cfRule>
  </conditionalFormatting>
  <dataValidations xWindow="931" yWindow="612" count="3">
    <dataValidation type="list" allowBlank="1" showInputMessage="1" showErrorMessage="1" sqref="D29:D30 D23:D27 D21 D17">
      <formula1>OptionNA</formula1>
    </dataValidation>
    <dataValidation type="list" allowBlank="1" showInputMessage="1" showErrorMessage="1" sqref="D19:D20 D14 D16">
      <formula1>Option</formula1>
    </dataValidation>
    <dataValidation type="list" allowBlank="1" showInputMessage="1" showErrorMessage="1" promptTitle="Comfort control strategy" prompt="Mechanical cooling: Ventilation is via  mechanical cooling equipment (i.e. air conditioning)_x000a_Natural ventilation: Ventilation is via  natural ventilation_x000a_Where a space contains both, the primary method of operation should be chosen. " sqref="D12">
      <formula1>ComfortControl</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81"/>
  <sheetViews>
    <sheetView showGridLines="0" zoomScaleNormal="100" workbookViewId="0">
      <selection activeCell="D11" sqref="D11"/>
    </sheetView>
  </sheetViews>
  <sheetFormatPr defaultRowHeight="12.75" x14ac:dyDescent="0.2"/>
  <cols>
    <col min="1" max="1" width="1.42578125" style="35" customWidth="1"/>
    <col min="2" max="2" width="81.85546875" style="35" customWidth="1"/>
    <col min="3" max="3" width="9.85546875" style="35" customWidth="1"/>
    <col min="4" max="4" width="20.7109375" style="35" customWidth="1"/>
    <col min="5" max="5" width="13.42578125" style="35" customWidth="1"/>
    <col min="6" max="8" width="9.140625" style="35" hidden="1" customWidth="1"/>
    <col min="9" max="10" width="14.7109375" style="35" hidden="1" customWidth="1"/>
    <col min="11" max="11" width="14.5703125" style="35" hidden="1" customWidth="1"/>
    <col min="12" max="12" width="17.42578125" style="35" hidden="1" customWidth="1"/>
    <col min="13" max="13" width="9.140625" style="35" hidden="1" customWidth="1"/>
    <col min="14" max="16" width="13.42578125" style="35" hidden="1" customWidth="1"/>
    <col min="17" max="18" width="9.140625" style="35" hidden="1" customWidth="1"/>
    <col min="19" max="35" width="9.140625" style="35" customWidth="1"/>
    <col min="36" max="16384" width="9.140625" style="35"/>
  </cols>
  <sheetData>
    <row r="1" spans="2:20" s="30" customFormat="1" ht="14.25" x14ac:dyDescent="0.2">
      <c r="E1" s="31"/>
    </row>
    <row r="2" spans="2:20" s="30" customFormat="1" ht="103.5" customHeight="1" x14ac:dyDescent="0.35">
      <c r="B2" s="32"/>
      <c r="C2" s="32"/>
      <c r="E2" s="31"/>
    </row>
    <row r="3" spans="2:20" s="30" customFormat="1" ht="72.75" customHeight="1" x14ac:dyDescent="0.35">
      <c r="B3" s="32"/>
      <c r="C3" s="32"/>
      <c r="E3" s="31"/>
    </row>
    <row r="4" spans="2:20" s="30" customFormat="1" ht="9.75" customHeight="1" x14ac:dyDescent="0.35">
      <c r="B4" s="32"/>
      <c r="C4" s="32"/>
      <c r="E4" s="31"/>
    </row>
    <row r="5" spans="2:20" s="30" customFormat="1" ht="14.25" x14ac:dyDescent="0.2">
      <c r="B5" s="33" t="s">
        <v>275</v>
      </c>
      <c r="C5" s="35"/>
      <c r="D5" s="34" t="s">
        <v>276</v>
      </c>
      <c r="E5" s="31"/>
    </row>
    <row r="6" spans="2:20" x14ac:dyDescent="0.2">
      <c r="F6" s="35" t="s">
        <v>273</v>
      </c>
      <c r="G6" s="35" t="s">
        <v>273</v>
      </c>
      <c r="H6" s="35" t="s">
        <v>273</v>
      </c>
      <c r="I6" s="35" t="s">
        <v>273</v>
      </c>
      <c r="J6" s="35" t="s">
        <v>273</v>
      </c>
      <c r="K6" s="35" t="s">
        <v>273</v>
      </c>
      <c r="L6" s="35" t="s">
        <v>273</v>
      </c>
      <c r="M6" s="35" t="s">
        <v>273</v>
      </c>
      <c r="N6" s="35" t="s">
        <v>273</v>
      </c>
      <c r="O6" s="35" t="s">
        <v>273</v>
      </c>
      <c r="P6" s="35" t="s">
        <v>273</v>
      </c>
      <c r="Q6" s="35" t="s">
        <v>273</v>
      </c>
      <c r="R6" s="35" t="s">
        <v>273</v>
      </c>
    </row>
    <row r="7" spans="2:20" x14ac:dyDescent="0.2">
      <c r="B7" s="56" t="s">
        <v>306</v>
      </c>
    </row>
    <row r="9" spans="2:20" ht="26.25" x14ac:dyDescent="0.4">
      <c r="B9" s="54" t="s">
        <v>253</v>
      </c>
      <c r="C9" s="54"/>
      <c r="D9" s="55"/>
    </row>
    <row r="10" spans="2:20" ht="16.5" customHeight="1" x14ac:dyDescent="0.25">
      <c r="B10" s="53" t="s">
        <v>280</v>
      </c>
      <c r="C10" s="53"/>
      <c r="D10" s="36"/>
      <c r="E10" s="36"/>
      <c r="F10" s="38"/>
    </row>
    <row r="11" spans="2:20" ht="18" customHeight="1" x14ac:dyDescent="0.2">
      <c r="B11" s="61" t="s">
        <v>0</v>
      </c>
      <c r="C11" s="41"/>
      <c r="D11" s="57"/>
      <c r="E11" s="41" t="s">
        <v>2</v>
      </c>
    </row>
    <row r="12" spans="2:20" ht="18" customHeight="1" x14ac:dyDescent="0.2">
      <c r="B12" s="61" t="s">
        <v>1</v>
      </c>
      <c r="C12" s="41"/>
      <c r="D12" s="57"/>
      <c r="E12" s="41" t="s">
        <v>2</v>
      </c>
    </row>
    <row r="13" spans="2:20" ht="18" customHeight="1" x14ac:dyDescent="0.2">
      <c r="B13" s="61"/>
      <c r="C13" s="41"/>
      <c r="D13" s="41"/>
      <c r="E13" s="41"/>
      <c r="F13" s="41"/>
      <c r="G13" s="41"/>
      <c r="H13" s="41"/>
      <c r="I13" s="41"/>
      <c r="J13" s="41"/>
      <c r="K13" s="41"/>
      <c r="L13" s="41"/>
      <c r="M13" s="41"/>
      <c r="N13" s="41"/>
      <c r="O13" s="41"/>
      <c r="P13" s="41"/>
      <c r="Q13" s="41"/>
      <c r="R13" s="41"/>
      <c r="S13" s="41"/>
      <c r="T13" s="41"/>
    </row>
    <row r="14" spans="2:20" ht="18" customHeight="1" x14ac:dyDescent="0.2">
      <c r="B14" s="61" t="s">
        <v>7</v>
      </c>
      <c r="C14" s="41"/>
      <c r="D14" s="57"/>
      <c r="E14" s="41" t="s">
        <v>6</v>
      </c>
    </row>
    <row r="15" spans="2:20" ht="18" customHeight="1" x14ac:dyDescent="0.2">
      <c r="B15" s="61" t="s">
        <v>8</v>
      </c>
      <c r="C15" s="41"/>
      <c r="D15" s="57"/>
      <c r="E15" s="41" t="s">
        <v>6</v>
      </c>
    </row>
    <row r="16" spans="2:20" ht="18" customHeight="1" x14ac:dyDescent="0.2">
      <c r="B16" s="61"/>
      <c r="C16" s="41"/>
      <c r="D16" s="62"/>
      <c r="E16" s="41"/>
    </row>
    <row r="17" spans="2:6" ht="18" customHeight="1" x14ac:dyDescent="0.2">
      <c r="B17" s="61" t="s">
        <v>4</v>
      </c>
      <c r="C17" s="41"/>
      <c r="D17" s="57"/>
      <c r="E17" s="63"/>
    </row>
    <row r="18" spans="2:6" ht="18" customHeight="1" x14ac:dyDescent="0.2">
      <c r="B18" s="61" t="s">
        <v>114</v>
      </c>
      <c r="C18" s="41"/>
      <c r="D18" s="57"/>
      <c r="E18" s="64"/>
    </row>
    <row r="19" spans="2:6" ht="18" customHeight="1" x14ac:dyDescent="0.2">
      <c r="B19" s="61" t="s">
        <v>268</v>
      </c>
      <c r="C19" s="41"/>
      <c r="D19" s="57"/>
      <c r="E19" s="41"/>
      <c r="F19" s="35">
        <f>IF(D19="yes",1,0)</f>
        <v>0</v>
      </c>
    </row>
    <row r="20" spans="2:6" ht="18" customHeight="1" x14ac:dyDescent="0.2">
      <c r="B20" s="61" t="s">
        <v>119</v>
      </c>
      <c r="C20" s="41"/>
      <c r="D20" s="57"/>
      <c r="E20" s="64"/>
    </row>
    <row r="21" spans="2:6" ht="18" customHeight="1" x14ac:dyDescent="0.2">
      <c r="B21" s="61" t="s">
        <v>137</v>
      </c>
      <c r="C21" s="41"/>
      <c r="D21" s="57"/>
      <c r="E21" s="64"/>
    </row>
    <row r="22" spans="2:6" x14ac:dyDescent="0.2">
      <c r="B22" s="41"/>
      <c r="C22" s="41"/>
      <c r="D22" s="62"/>
      <c r="E22" s="41"/>
    </row>
    <row r="23" spans="2:6" ht="18" customHeight="1" x14ac:dyDescent="0.2">
      <c r="B23" s="47" t="s">
        <v>285</v>
      </c>
      <c r="C23" s="47"/>
      <c r="D23" s="65"/>
      <c r="E23" s="47"/>
    </row>
    <row r="24" spans="2:6" ht="18" customHeight="1" x14ac:dyDescent="0.2">
      <c r="B24" s="66" t="s">
        <v>281</v>
      </c>
      <c r="C24" s="66"/>
      <c r="D24" s="67" t="str">
        <f>IF(ISBLANK(D11)=TRUE,"",D11+0.5)</f>
        <v/>
      </c>
      <c r="E24" s="66" t="s">
        <v>2</v>
      </c>
    </row>
    <row r="25" spans="2:6" ht="18" customHeight="1" x14ac:dyDescent="0.2">
      <c r="B25" s="66" t="s">
        <v>282</v>
      </c>
      <c r="C25" s="66"/>
      <c r="D25" s="67" t="str">
        <f>IF(ISBLANK(D12)=TRUE,"",D12+0.5)</f>
        <v/>
      </c>
      <c r="E25" s="66" t="s">
        <v>2</v>
      </c>
    </row>
    <row r="26" spans="2:6" ht="18" customHeight="1" x14ac:dyDescent="0.2">
      <c r="B26" s="66" t="s">
        <v>283</v>
      </c>
      <c r="C26" s="66"/>
      <c r="D26" s="67" t="str">
        <f>IFERROR(VLOOKUP($D$17,Reference!$B$4:$W$72,D24/0.5+2,FALSE),"")</f>
        <v/>
      </c>
      <c r="E26" s="66" t="s">
        <v>6</v>
      </c>
    </row>
    <row r="27" spans="2:6" ht="18" customHeight="1" x14ac:dyDescent="0.2">
      <c r="B27" s="66" t="s">
        <v>284</v>
      </c>
      <c r="C27" s="66"/>
      <c r="D27" s="67" t="str">
        <f>IFERROR(VLOOKUP($D$17,Reference!$B$4:$W$72,D25/0.5+2,FALSE),"")</f>
        <v/>
      </c>
      <c r="E27" s="66" t="s">
        <v>6</v>
      </c>
    </row>
    <row r="28" spans="2:6" ht="18" customHeight="1" x14ac:dyDescent="0.2">
      <c r="B28" s="66" t="s">
        <v>5</v>
      </c>
      <c r="C28" s="66"/>
      <c r="D28" s="67" t="str">
        <f>IFERROR(VLOOKUP($D$17,Reference!$B$4:$W$72,22,FALSE),"")</f>
        <v/>
      </c>
      <c r="E28" s="66" t="s">
        <v>6</v>
      </c>
    </row>
    <row r="29" spans="2:6" ht="18" customHeight="1" x14ac:dyDescent="0.2">
      <c r="B29" s="66"/>
      <c r="C29" s="66"/>
      <c r="D29" s="67"/>
      <c r="E29" s="66"/>
    </row>
    <row r="30" spans="2:6" ht="18" customHeight="1" thickBot="1" x14ac:dyDescent="0.25">
      <c r="B30" s="68" t="s">
        <v>288</v>
      </c>
      <c r="C30" s="69"/>
      <c r="D30" s="70" t="str">
        <f>IF(ISBLANK(D14)=TRUE,"",IF(D14&lt;=D26,"PASS","FAIL"))</f>
        <v/>
      </c>
    </row>
    <row r="31" spans="2:6" ht="18" customHeight="1" thickTop="1" thickBot="1" x14ac:dyDescent="0.25">
      <c r="B31" s="68" t="s">
        <v>289</v>
      </c>
      <c r="C31" s="69"/>
      <c r="D31" s="70" t="str">
        <f>IF(ISBLANK(D15)=TRUE,"",IF(D15&lt;=D27,"PASS","FAIL"))</f>
        <v/>
      </c>
    </row>
    <row r="32" spans="2:6" ht="18" customHeight="1" thickTop="1" x14ac:dyDescent="0.2">
      <c r="B32" s="41"/>
      <c r="C32" s="41"/>
      <c r="D32" s="62"/>
      <c r="E32" s="41"/>
    </row>
    <row r="33" spans="2:23" ht="18" customHeight="1" thickBot="1" x14ac:dyDescent="0.25">
      <c r="B33" s="68" t="s">
        <v>54</v>
      </c>
      <c r="C33" s="69"/>
      <c r="D33" s="71">
        <f>IFERROR(IF(ISBLANK(D14)=TRUE,0,MIN(MAX(1-(D14-D28)/(D26-D28),0),1)),0)</f>
        <v>0</v>
      </c>
    </row>
    <row r="34" spans="2:23" ht="18" customHeight="1" thickTop="1" x14ac:dyDescent="0.2">
      <c r="D34" s="72"/>
    </row>
    <row r="35" spans="2:23" ht="18" customHeight="1" x14ac:dyDescent="0.2">
      <c r="B35" s="47" t="s">
        <v>10</v>
      </c>
      <c r="C35" s="38"/>
      <c r="D35" s="73"/>
      <c r="E35" s="38"/>
      <c r="F35" s="35" t="s">
        <v>271</v>
      </c>
      <c r="I35" s="74"/>
      <c r="J35" s="74"/>
      <c r="K35" s="74" t="s">
        <v>269</v>
      </c>
      <c r="L35" s="74" t="s">
        <v>270</v>
      </c>
    </row>
    <row r="36" spans="2:23" ht="18" customHeight="1" x14ac:dyDescent="0.2">
      <c r="B36" s="75" t="s">
        <v>11</v>
      </c>
      <c r="C36" s="75"/>
      <c r="D36" s="76"/>
      <c r="E36" s="75"/>
      <c r="K36" s="35">
        <v>3</v>
      </c>
      <c r="L36" s="77">
        <v>8.3299999999999999E-2</v>
      </c>
      <c r="U36" s="77"/>
      <c r="W36" s="77"/>
    </row>
    <row r="37" spans="2:23" ht="30" customHeight="1" x14ac:dyDescent="0.2">
      <c r="B37" s="39" t="s">
        <v>156</v>
      </c>
      <c r="C37" s="39"/>
      <c r="D37" s="57"/>
      <c r="F37" s="35">
        <f>IF(D37="Yes",1,0)</f>
        <v>0</v>
      </c>
      <c r="Q37" s="77"/>
      <c r="U37" s="40"/>
    </row>
    <row r="38" spans="2:23" ht="30" customHeight="1" x14ac:dyDescent="0.2">
      <c r="B38" s="39" t="s">
        <v>157</v>
      </c>
      <c r="C38" s="39"/>
      <c r="D38" s="57"/>
      <c r="F38" s="35">
        <f t="shared" ref="F38:F39" si="0">IF(D38="Yes",1,0)</f>
        <v>0</v>
      </c>
    </row>
    <row r="39" spans="2:23" ht="25.5" customHeight="1" x14ac:dyDescent="0.2">
      <c r="B39" s="42" t="s">
        <v>39</v>
      </c>
      <c r="C39" s="42"/>
      <c r="D39" s="57"/>
      <c r="F39" s="35">
        <f t="shared" si="0"/>
        <v>0</v>
      </c>
      <c r="N39" s="35" t="s">
        <v>266</v>
      </c>
    </row>
    <row r="40" spans="2:23" s="41" customFormat="1" ht="18" customHeight="1" x14ac:dyDescent="0.2">
      <c r="B40" s="47" t="s">
        <v>9</v>
      </c>
      <c r="C40" s="47"/>
      <c r="D40" s="65"/>
      <c r="E40" s="47"/>
      <c r="K40" s="41">
        <f>IF(AND(D18="mechanical cooling",F19=1),8,IF(D18="Mechanical cooling",4,IF(AND(D18="mixed",F19=1),10,IF(AND(D18="natural ventilation",F19=1),10,6))))</f>
        <v>6</v>
      </c>
      <c r="L40" s="78">
        <v>0.5</v>
      </c>
      <c r="N40" s="41">
        <v>2</v>
      </c>
      <c r="O40" s="78">
        <v>0.16600000000000001</v>
      </c>
    </row>
    <row r="41" spans="2:23" s="41" customFormat="1" ht="18" customHeight="1" x14ac:dyDescent="0.2">
      <c r="B41" s="79" t="s">
        <v>117</v>
      </c>
      <c r="C41" s="79"/>
      <c r="D41" s="80" t="str">
        <f>IF(ISBLANK(D18)=TRUE,"",IF(D18="Natural Ventilation","No","Yes"))</f>
        <v/>
      </c>
      <c r="E41" s="79"/>
      <c r="F41" s="41" t="s">
        <v>272</v>
      </c>
      <c r="G41" s="41" t="s">
        <v>120</v>
      </c>
      <c r="H41" s="41" t="s">
        <v>121</v>
      </c>
      <c r="N41" s="41" t="s">
        <v>118</v>
      </c>
      <c r="O41" s="41" t="s">
        <v>120</v>
      </c>
      <c r="P41" s="41" t="s">
        <v>121</v>
      </c>
    </row>
    <row r="42" spans="2:23" s="41" customFormat="1" ht="18" customHeight="1" x14ac:dyDescent="0.2">
      <c r="B42" s="42" t="s">
        <v>41</v>
      </c>
      <c r="C42" s="42"/>
      <c r="D42" s="57"/>
      <c r="E42" s="41" t="s">
        <v>2</v>
      </c>
      <c r="F42" s="41">
        <f>IF($D$18="Mixed",$D$20*H42+(1-$D$20)*G42,IF($D$18="Natural Ventilation",H42,G42))</f>
        <v>0</v>
      </c>
      <c r="G42" s="41">
        <f>IF(D42&gt;=5,3,IF(D42&gt;=4,2,IF(D42&gt;=3,1,0)))</f>
        <v>0</v>
      </c>
      <c r="H42" s="41">
        <v>3</v>
      </c>
      <c r="N42" s="41">
        <f>(IF($D$18="Mixed",$D$20*P42+(1-$D$20)*O42,IF($D$18="Natural Ventilation",P42,O42)))+(IF($D$18="Mixed",$D$20*P43+(1-$D$20)*O43,IF($D$18="Natural Ventilation",P43,O43)))</f>
        <v>0</v>
      </c>
      <c r="O42" s="41">
        <f>IF(D42&gt;=3,1,0)</f>
        <v>0</v>
      </c>
      <c r="P42" s="41">
        <v>0</v>
      </c>
    </row>
    <row r="43" spans="2:23" s="41" customFormat="1" ht="18" customHeight="1" x14ac:dyDescent="0.2">
      <c r="B43" s="42" t="s">
        <v>49</v>
      </c>
      <c r="C43" s="42"/>
      <c r="D43" s="57"/>
      <c r="F43" s="41">
        <f>IF($D$18="Mixed",$D$20*H43+(1-$D$20)*G43,IF($D$18="Natural Ventilation",H43,G43))</f>
        <v>0</v>
      </c>
      <c r="G43" s="41">
        <f>IF(D43="Yes",1,0)</f>
        <v>0</v>
      </c>
      <c r="H43" s="41">
        <v>1</v>
      </c>
      <c r="O43" s="41">
        <f>IF(D43="Yes",1,0)</f>
        <v>0</v>
      </c>
    </row>
    <row r="44" spans="2:23" s="41" customFormat="1" ht="18" customHeight="1" x14ac:dyDescent="0.2">
      <c r="B44" s="79" t="s">
        <v>268</v>
      </c>
      <c r="C44" s="79"/>
      <c r="D44" s="80" t="str">
        <f>IF(ISBLANK(D19)=TRUE,"",D19)</f>
        <v/>
      </c>
      <c r="E44" s="79"/>
      <c r="F44" s="41" t="s">
        <v>272</v>
      </c>
      <c r="G44" s="41" t="s">
        <v>120</v>
      </c>
      <c r="H44" s="41" t="s">
        <v>121</v>
      </c>
      <c r="N44" s="41" t="s">
        <v>118</v>
      </c>
      <c r="O44" s="41" t="s">
        <v>120</v>
      </c>
      <c r="P44" s="41" t="s">
        <v>121</v>
      </c>
    </row>
    <row r="45" spans="2:23" s="41" customFormat="1" ht="18" customHeight="1" x14ac:dyDescent="0.2">
      <c r="B45" s="42" t="s">
        <v>42</v>
      </c>
      <c r="C45" s="42"/>
      <c r="D45" s="57"/>
      <c r="E45" s="41" t="s">
        <v>2</v>
      </c>
      <c r="F45" s="41">
        <f>IF($D$18="Mixed",$D$20*H45+(1-$D$20)*G45,IF($D$18="Natural Ventilation",H45,G45))</f>
        <v>0</v>
      </c>
      <c r="G45" s="41">
        <f>IF(F19=0,0,IF(D45&gt;=5,3,IF(D45&gt;=4,2,IF(D45&gt;=3,1,0))))</f>
        <v>0</v>
      </c>
      <c r="H45" s="41">
        <f>IF(F19=0,0,IF(D45&gt;=5,3,IF(D45&gt;=4,2,IF(D45&gt;=3,1,0))))</f>
        <v>0</v>
      </c>
      <c r="N45" s="41">
        <f>IF(D19="yes",IF(AND(D45&gt;=3,D46="yes"),2,0),0)</f>
        <v>0</v>
      </c>
    </row>
    <row r="46" spans="2:23" s="41" customFormat="1" ht="18" customHeight="1" x14ac:dyDescent="0.2">
      <c r="B46" s="42" t="s">
        <v>40</v>
      </c>
      <c r="C46" s="42"/>
      <c r="D46" s="57"/>
      <c r="F46" s="41">
        <f>IF($D$18="Mixed",$D$20*H46+(1-$D$20)*G46,IF($D$18="Natural Ventilation",H46,G46))</f>
        <v>0</v>
      </c>
      <c r="G46" s="41">
        <f>IF(F19=0,0,IF(D46="Yes",1,0))</f>
        <v>0</v>
      </c>
      <c r="H46" s="41">
        <f>IF(F19=0,0,IF(D46="Yes",1,0))</f>
        <v>0</v>
      </c>
    </row>
    <row r="47" spans="2:23" s="41" customFormat="1" ht="18" customHeight="1" x14ac:dyDescent="0.2">
      <c r="B47" s="79" t="s">
        <v>116</v>
      </c>
      <c r="C47" s="79"/>
      <c r="D47" s="80" t="str">
        <f>IF(ISBLANK(D18)=TRUE,"",IF(D18="Natural Ventilation","Yes","No"))</f>
        <v/>
      </c>
      <c r="E47" s="79"/>
      <c r="F47" s="41" t="s">
        <v>272</v>
      </c>
      <c r="G47" s="41" t="s">
        <v>120</v>
      </c>
      <c r="H47" s="41" t="s">
        <v>267</v>
      </c>
      <c r="N47" s="41" t="s">
        <v>118</v>
      </c>
      <c r="O47" s="41" t="s">
        <v>120</v>
      </c>
      <c r="P47" s="41" t="s">
        <v>267</v>
      </c>
    </row>
    <row r="48" spans="2:23" s="41" customFormat="1" ht="18" customHeight="1" x14ac:dyDescent="0.2">
      <c r="B48" s="42" t="s">
        <v>158</v>
      </c>
      <c r="C48" s="42"/>
      <c r="D48" s="57"/>
      <c r="F48" s="41">
        <f>IF($D$18="Mixed",$D$20*H48+(1-$D$20)*G48,IF($D$18="Natural Ventilation",H48,G48))</f>
        <v>0</v>
      </c>
      <c r="G48" s="41">
        <v>0</v>
      </c>
      <c r="H48" s="41">
        <f>IF(D48="Yes",1,)</f>
        <v>0</v>
      </c>
      <c r="N48" s="41">
        <f>(IF($D$18="Mixed",$D$20*P48+(1-$D$20)*O48,IF($D$18="Natural Ventilation",P48,O48)))+(IF($D$18="Mixed",$D$20*P49+(1-$D$20)*O49,IF($D$18="Natural Ventilation",P49,O49)))</f>
        <v>0</v>
      </c>
      <c r="P48" s="41">
        <f>IF(D48="Yes",1,0)</f>
        <v>0</v>
      </c>
    </row>
    <row r="49" spans="2:16" s="41" customFormat="1" ht="18" customHeight="1" x14ac:dyDescent="0.2">
      <c r="B49" s="42" t="s">
        <v>159</v>
      </c>
      <c r="C49" s="42"/>
      <c r="D49" s="57"/>
      <c r="F49" s="41">
        <f>IF($D$18="Mixed",$D$20*H49+(1-$D$20)*G49,IF($D$18="Natural Ventilation",H49,G49))</f>
        <v>0</v>
      </c>
      <c r="G49" s="41">
        <v>0</v>
      </c>
      <c r="H49" s="41">
        <f>IF(D49="Yes",1,0)</f>
        <v>0</v>
      </c>
      <c r="P49" s="41">
        <f>IF(D49="Yes",1,0)</f>
        <v>0</v>
      </c>
    </row>
    <row r="50" spans="2:16" s="41" customFormat="1" ht="18" customHeight="1" x14ac:dyDescent="0.2">
      <c r="B50" s="47" t="s">
        <v>12</v>
      </c>
      <c r="C50" s="47"/>
      <c r="D50" s="65"/>
      <c r="E50" s="47"/>
      <c r="K50" s="41">
        <v>5</v>
      </c>
      <c r="L50" s="81">
        <v>0.16600000000000001</v>
      </c>
    </row>
    <row r="51" spans="2:16" s="41" customFormat="1" ht="18" customHeight="1" x14ac:dyDescent="0.2">
      <c r="B51" s="42" t="s">
        <v>231</v>
      </c>
      <c r="C51" s="42"/>
      <c r="D51" s="57"/>
      <c r="F51" s="41">
        <f>IF(ISBLANK(D51)=TRUE,0,IF(D51="Other",0,1))</f>
        <v>0</v>
      </c>
    </row>
    <row r="52" spans="2:16" s="41" customFormat="1" ht="18" customHeight="1" x14ac:dyDescent="0.2">
      <c r="B52" s="42" t="s">
        <v>136</v>
      </c>
      <c r="C52" s="42"/>
      <c r="D52" s="57"/>
      <c r="F52" s="41">
        <f>IFERROR(IF(D52/D21&gt;1.34,MIN((D52/D21-2.37)/(7.11-2.37)*4,4),0),0)</f>
        <v>0</v>
      </c>
      <c r="L52" s="81"/>
    </row>
    <row r="53" spans="2:16" s="41" customFormat="1" ht="18" customHeight="1" x14ac:dyDescent="0.2">
      <c r="B53" s="47" t="s">
        <v>13</v>
      </c>
      <c r="C53" s="47"/>
      <c r="D53" s="65"/>
      <c r="E53" s="47"/>
      <c r="K53" s="41">
        <v>4</v>
      </c>
      <c r="L53" s="81">
        <v>8.3299999999999999E-2</v>
      </c>
    </row>
    <row r="54" spans="2:16" s="41" customFormat="1" ht="18" customHeight="1" x14ac:dyDescent="0.2">
      <c r="B54" s="82" t="s">
        <v>57</v>
      </c>
      <c r="C54" s="82"/>
      <c r="D54" s="57"/>
      <c r="F54" s="41">
        <f>IF(D54="Yes",1,0)</f>
        <v>0</v>
      </c>
    </row>
    <row r="55" spans="2:16" ht="30" customHeight="1" x14ac:dyDescent="0.2">
      <c r="B55" s="42" t="s">
        <v>58</v>
      </c>
      <c r="C55" s="42"/>
      <c r="D55" s="57"/>
      <c r="F55" s="35">
        <f t="shared" ref="F55:F57" si="1">IF(D55="Yes",1,0)</f>
        <v>0</v>
      </c>
    </row>
    <row r="56" spans="2:16" s="41" customFormat="1" ht="18" customHeight="1" x14ac:dyDescent="0.2">
      <c r="B56" s="42" t="s">
        <v>59</v>
      </c>
      <c r="C56" s="42"/>
      <c r="D56" s="57"/>
      <c r="F56" s="41">
        <f t="shared" si="1"/>
        <v>0</v>
      </c>
    </row>
    <row r="57" spans="2:16" s="41" customFormat="1" ht="18" customHeight="1" x14ac:dyDescent="0.2">
      <c r="B57" s="42" t="s">
        <v>60</v>
      </c>
      <c r="C57" s="42"/>
      <c r="D57" s="57"/>
      <c r="F57" s="41">
        <f t="shared" si="1"/>
        <v>0</v>
      </c>
    </row>
    <row r="58" spans="2:16" s="41" customFormat="1" ht="18" customHeight="1" x14ac:dyDescent="0.2">
      <c r="B58" s="47" t="s">
        <v>155</v>
      </c>
      <c r="C58" s="47"/>
      <c r="D58" s="65"/>
      <c r="E58" s="47"/>
      <c r="K58" s="41">
        <v>1</v>
      </c>
      <c r="L58" s="81">
        <v>8.3000000000000004E-2</v>
      </c>
    </row>
    <row r="59" spans="2:16" ht="60" customHeight="1" x14ac:dyDescent="0.2">
      <c r="B59" s="42" t="s">
        <v>295</v>
      </c>
      <c r="C59" s="42"/>
      <c r="D59" s="57"/>
      <c r="F59" s="35">
        <f>IF(D59="Yes",1,0)</f>
        <v>0</v>
      </c>
    </row>
    <row r="60" spans="2:16" x14ac:dyDescent="0.2">
      <c r="D60" s="72"/>
    </row>
    <row r="61" spans="2:16" s="41" customFormat="1" ht="18" customHeight="1" x14ac:dyDescent="0.2">
      <c r="B61" s="47" t="s">
        <v>67</v>
      </c>
      <c r="C61" s="47"/>
      <c r="D61" s="65"/>
      <c r="E61" s="47"/>
      <c r="L61" s="81"/>
    </row>
    <row r="62" spans="2:16" s="41" customFormat="1" ht="18" customHeight="1" x14ac:dyDescent="0.2">
      <c r="B62" s="45" t="s">
        <v>61</v>
      </c>
      <c r="C62" s="45"/>
      <c r="D62" s="60">
        <f>L40*D69*((4+D33*2)/7*D33)</f>
        <v>0</v>
      </c>
      <c r="E62" s="45"/>
      <c r="F62" s="41">
        <f>L40*D69*((4+D33*2)/7*D33+(3-D33*2)/7*SUM(F42:F49)/K40)-D63</f>
        <v>0</v>
      </c>
    </row>
    <row r="63" spans="2:16" s="41" customFormat="1" ht="18" customHeight="1" x14ac:dyDescent="0.2">
      <c r="B63" s="45" t="s">
        <v>9</v>
      </c>
      <c r="C63" s="45"/>
      <c r="D63" s="60">
        <f>IF(O40*D69*SUM(N41:N49)/N40&gt;=2,2,O40*D69*SUM(N41:N49)/N40)</f>
        <v>0</v>
      </c>
      <c r="E63" s="45"/>
    </row>
    <row r="64" spans="2:16" s="41" customFormat="1" ht="18" customHeight="1" x14ac:dyDescent="0.2">
      <c r="B64" s="45" t="s">
        <v>11</v>
      </c>
      <c r="C64" s="45"/>
      <c r="D64" s="60">
        <f>L36*D69*SUM(F37:F39)/K36</f>
        <v>0</v>
      </c>
      <c r="E64" s="45"/>
      <c r="O64" s="41">
        <f>D69*L40</f>
        <v>6</v>
      </c>
    </row>
    <row r="65" spans="2:19" s="41" customFormat="1" ht="18" customHeight="1" x14ac:dyDescent="0.2">
      <c r="B65" s="45" t="s">
        <v>62</v>
      </c>
      <c r="C65" s="45"/>
      <c r="D65" s="60">
        <f>L50*D69*SUM(F51:F52)/K50</f>
        <v>0</v>
      </c>
      <c r="E65" s="45"/>
    </row>
    <row r="66" spans="2:19" s="41" customFormat="1" ht="18" customHeight="1" x14ac:dyDescent="0.2">
      <c r="B66" s="45" t="s">
        <v>13</v>
      </c>
      <c r="C66" s="45"/>
      <c r="D66" s="60">
        <f>IF(COUNTIF(D54:D57,"&lt;&gt;NA")&lt;&gt;0,IF(COUNTIF(D54:D57,"Yes")=COUNTIF(D54:D57,"&lt;&gt;NA"),1,0),0)</f>
        <v>0</v>
      </c>
      <c r="E66" s="45"/>
    </row>
    <row r="67" spans="2:19" s="41" customFormat="1" ht="18" customHeight="1" x14ac:dyDescent="0.2">
      <c r="B67" s="45" t="s">
        <v>155</v>
      </c>
      <c r="C67" s="45"/>
      <c r="D67" s="60">
        <f>L58*D69*SUM(F59)/K58</f>
        <v>0</v>
      </c>
      <c r="E67" s="45"/>
    </row>
    <row r="68" spans="2:19" s="41" customFormat="1" ht="18" customHeight="1" x14ac:dyDescent="0.2">
      <c r="C68" s="83" t="s">
        <v>286</v>
      </c>
      <c r="D68" s="84">
        <f>IF(SUM(D62:D67)&gt;12,12,IF(OR(D30="FAIL",D31="FAIL"),0,SUM(D62:D67)))</f>
        <v>0</v>
      </c>
      <c r="E68" s="85"/>
    </row>
    <row r="69" spans="2:19" s="41" customFormat="1" ht="18" customHeight="1" x14ac:dyDescent="0.2">
      <c r="C69" s="83" t="s">
        <v>287</v>
      </c>
      <c r="D69" s="84">
        <v>12</v>
      </c>
      <c r="E69" s="85"/>
    </row>
    <row r="70" spans="2:19" x14ac:dyDescent="0.2">
      <c r="D70" s="72"/>
    </row>
    <row r="71" spans="2:19" x14ac:dyDescent="0.2">
      <c r="D71" s="72"/>
    </row>
    <row r="72" spans="2:19" ht="26.25" x14ac:dyDescent="0.4">
      <c r="B72" s="54" t="s">
        <v>279</v>
      </c>
      <c r="C72" s="54"/>
      <c r="D72" s="55"/>
    </row>
    <row r="73" spans="2:19" ht="16.5" customHeight="1" x14ac:dyDescent="0.25">
      <c r="B73" s="53"/>
      <c r="C73" s="53"/>
      <c r="D73" s="36"/>
      <c r="E73" s="36"/>
      <c r="F73" s="38"/>
    </row>
    <row r="74" spans="2:19" s="41" customFormat="1" ht="18" customHeight="1" x14ac:dyDescent="0.2">
      <c r="B74" s="43" t="s">
        <v>225</v>
      </c>
      <c r="C74" s="43"/>
      <c r="D74" s="57"/>
      <c r="E74" s="41" t="s">
        <v>222</v>
      </c>
    </row>
    <row r="75" spans="2:19" s="41" customFormat="1" ht="18" customHeight="1" x14ac:dyDescent="0.2">
      <c r="B75" s="86" t="s">
        <v>223</v>
      </c>
      <c r="C75" s="86"/>
      <c r="D75" s="57"/>
      <c r="E75" s="41" t="s">
        <v>222</v>
      </c>
    </row>
    <row r="76" spans="2:19" s="41" customFormat="1" ht="18" customHeight="1" x14ac:dyDescent="0.2">
      <c r="D76" s="62"/>
    </row>
    <row r="77" spans="2:19" s="41" customFormat="1" ht="18" customHeight="1" thickBot="1" x14ac:dyDescent="0.25">
      <c r="B77" s="87" t="s">
        <v>224</v>
      </c>
      <c r="C77" s="87"/>
      <c r="D77" s="71">
        <f>IFERROR(D75/D74,0)</f>
        <v>0</v>
      </c>
      <c r="E77" s="87"/>
    </row>
    <row r="78" spans="2:19" ht="13.5" thickTop="1" x14ac:dyDescent="0.2">
      <c r="D78" s="72"/>
    </row>
    <row r="79" spans="2:19" s="41" customFormat="1" ht="18" customHeight="1" x14ac:dyDescent="0.2">
      <c r="B79" s="52" t="s">
        <v>67</v>
      </c>
      <c r="C79" s="47"/>
      <c r="D79" s="47"/>
      <c r="E79" s="47"/>
    </row>
    <row r="80" spans="2:19" s="41" customFormat="1" ht="18" customHeight="1" x14ac:dyDescent="0.2">
      <c r="B80" s="85"/>
      <c r="C80" s="83" t="s">
        <v>286</v>
      </c>
      <c r="D80" s="88">
        <f>IF(D77&gt;F80,D81,0)</f>
        <v>0</v>
      </c>
      <c r="E80" s="85"/>
      <c r="F80" s="89">
        <v>0.15</v>
      </c>
      <c r="G80" s="90"/>
      <c r="H80" s="90"/>
      <c r="I80" s="90"/>
      <c r="J80" s="90"/>
      <c r="K80" s="90"/>
      <c r="L80" s="90"/>
      <c r="M80" s="90"/>
      <c r="N80" s="90"/>
      <c r="O80" s="90"/>
      <c r="P80" s="90"/>
      <c r="Q80" s="90"/>
      <c r="R80" s="90"/>
      <c r="S80" s="90"/>
    </row>
    <row r="81" spans="2:19" s="41" customFormat="1" ht="18" customHeight="1" x14ac:dyDescent="0.2">
      <c r="B81" s="85"/>
      <c r="C81" s="83" t="s">
        <v>287</v>
      </c>
      <c r="D81" s="88">
        <v>1</v>
      </c>
      <c r="E81" s="85"/>
      <c r="F81" s="90"/>
      <c r="G81" s="90"/>
      <c r="H81" s="90"/>
      <c r="I81" s="90"/>
      <c r="J81" s="90"/>
      <c r="K81" s="90"/>
      <c r="L81" s="90"/>
      <c r="M81" s="90"/>
      <c r="N81" s="90"/>
      <c r="O81" s="90"/>
      <c r="P81" s="90"/>
      <c r="Q81" s="90"/>
      <c r="R81" s="90"/>
      <c r="S81" s="90"/>
    </row>
  </sheetData>
  <sheetProtection password="E6B1" sheet="1" objects="1" scenarios="1"/>
  <conditionalFormatting sqref="D30">
    <cfRule type="cellIs" dxfId="2" priority="3" operator="equal">
      <formula>"FAIL"</formula>
    </cfRule>
  </conditionalFormatting>
  <conditionalFormatting sqref="D31">
    <cfRule type="cellIs" dxfId="1" priority="2" operator="equal">
      <formula>"FAIL"</formula>
    </cfRule>
  </conditionalFormatting>
  <conditionalFormatting sqref="D33">
    <cfRule type="cellIs" dxfId="0" priority="1" operator="equal">
      <formula>"FAIL"</formula>
    </cfRule>
  </conditionalFormatting>
  <dataValidations count="12">
    <dataValidation type="list" allowBlank="1" showInputMessage="1" showErrorMessage="1" sqref="D54:D58">
      <formula1>OptionNA</formula1>
    </dataValidation>
    <dataValidation type="list" allowBlank="1" showInputMessage="1" showErrorMessage="1" sqref="D37:D39 D59 D43 D19 D46 D48:D49">
      <formula1>Option</formula1>
    </dataValidation>
    <dataValidation type="list" allowBlank="1" showInputMessage="1" showErrorMessage="1" sqref="D45 D42">
      <formula1>ACStarRating</formula1>
    </dataValidation>
    <dataValidation type="decimal" allowBlank="1" showInputMessage="1" showErrorMessage="1" sqref="D52">
      <formula1>0</formula1>
      <formula2>1000000</formula2>
    </dataValidation>
    <dataValidation type="list" allowBlank="1" showInputMessage="1" showErrorMessage="1" sqref="D17">
      <formula1>NatHERSZone</formula1>
    </dataValidation>
    <dataValidation type="list" allowBlank="1" showInputMessage="1" showErrorMessage="1" sqref="D11:D12">
      <formula1>NatHERSStar</formula1>
    </dataValidation>
    <dataValidation type="list" allowBlank="1" showInputMessage="1" showErrorMessage="1" promptTitle="Comfort control strategy" prompt="Mechanical cooling: all apartments are provided with mechanical cooling equipment (i.e. air conditioning)_x000a_Natural ventilation: NO apartments are provided with mechanical cooling_x000a_Mixed: some apartments are provided with mechanical cooling and some are not." sqref="D18">
      <formula1>ComfortControl</formula1>
    </dataValidation>
    <dataValidation type="decimal" allowBlank="1" showInputMessage="1" showErrorMessage="1" promptTitle="Proportion nat vent" prompt="Enter the proportion of the total apartments which are NOT provided with mechanical cooling (i.e. air conditioning)." sqref="D20">
      <formula1>0</formula1>
      <formula2>1</formula2>
    </dataValidation>
    <dataValidation allowBlank="1" showInputMessage="1" showErrorMessage="1" promptTitle="Average Energy Intensity" prompt="Enter the area-weighted average energy intensity for all apartments in the development, based on the NatHERS assessment results for all apartment types." sqref="D14"/>
    <dataValidation allowBlank="1" showInputMessage="1" showErrorMessage="1" promptTitle="Worst-Case Energy Intensity" prompt="Enter the worst-case apartment energy intensity for the development, based on the NatHERS assessment results for all apartment types." sqref="D15"/>
    <dataValidation type="whole" allowBlank="1" showInputMessage="1" showErrorMessage="1" promptTitle="Building Occupancy" prompt="Enter the total number of building occupants, based on 2 people for the first bed and 1 person for each additional bed in each apartment." sqref="D21">
      <formula1>0</formula1>
      <formula2>1000000</formula2>
    </dataValidation>
    <dataValidation type="list" allowBlank="1" showInputMessage="1" showErrorMessage="1" sqref="D51">
      <formula1>DHWFuel</formula1>
    </dataValidation>
  </dataValidations>
  <pageMargins left="0.7" right="0.7" top="0.75" bottom="0.75" header="0.3" footer="0.3"/>
  <pageSetup paperSize="25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7"/>
  <sheetViews>
    <sheetView showGridLines="0" showRowColHeaders="0" zoomScaleNormal="100" workbookViewId="0">
      <selection activeCell="D13" sqref="D13"/>
    </sheetView>
  </sheetViews>
  <sheetFormatPr defaultRowHeight="12.75" x14ac:dyDescent="0.2"/>
  <cols>
    <col min="1" max="1" width="1.42578125" style="41" customWidth="1"/>
    <col min="2" max="2" width="83.28515625" style="41" customWidth="1"/>
    <col min="3" max="3" width="18.85546875" style="41" customWidth="1"/>
    <col min="4" max="4" width="12" style="41" customWidth="1"/>
    <col min="5" max="5" width="12.140625" style="41" bestFit="1" customWidth="1"/>
    <col min="6" max="7" width="9.140625" style="41" hidden="1" customWidth="1"/>
    <col min="8" max="16384" width="9.140625" style="41"/>
  </cols>
  <sheetData>
    <row r="1" spans="2:18" s="30" customFormat="1" ht="14.25" x14ac:dyDescent="0.2">
      <c r="E1" s="31"/>
    </row>
    <row r="2" spans="2:18" s="30" customFormat="1" ht="103.5" customHeight="1" x14ac:dyDescent="0.35">
      <c r="B2" s="32"/>
      <c r="C2" s="32"/>
      <c r="E2" s="31"/>
    </row>
    <row r="3" spans="2:18" s="30" customFormat="1" ht="72.75" customHeight="1" x14ac:dyDescent="0.35">
      <c r="B3" s="32"/>
      <c r="C3" s="32"/>
      <c r="E3" s="31"/>
    </row>
    <row r="4" spans="2:18" s="30" customFormat="1" ht="9.75" customHeight="1" x14ac:dyDescent="0.35">
      <c r="B4" s="32"/>
      <c r="C4" s="32"/>
      <c r="E4" s="31"/>
    </row>
    <row r="5" spans="2:18" s="30" customFormat="1" ht="14.25" customHeight="1" x14ac:dyDescent="0.2">
      <c r="B5" s="33" t="s">
        <v>275</v>
      </c>
      <c r="C5" s="91"/>
      <c r="D5" s="48" t="s">
        <v>277</v>
      </c>
      <c r="E5" s="31"/>
    </row>
    <row r="6" spans="2:18" s="35" customFormat="1" ht="14.25" x14ac:dyDescent="0.2">
      <c r="F6" s="35" t="s">
        <v>273</v>
      </c>
      <c r="G6" s="35" t="s">
        <v>273</v>
      </c>
      <c r="H6" s="30"/>
      <c r="I6" s="30"/>
      <c r="J6" s="30"/>
      <c r="K6" s="30"/>
      <c r="L6" s="30"/>
      <c r="M6" s="30"/>
      <c r="N6" s="30"/>
      <c r="O6" s="30"/>
      <c r="P6" s="30"/>
      <c r="Q6" s="30"/>
      <c r="R6" s="30"/>
    </row>
    <row r="7" spans="2:18" s="35" customFormat="1" x14ac:dyDescent="0.2">
      <c r="B7" s="56" t="s">
        <v>307</v>
      </c>
    </row>
    <row r="8" spans="2:18" s="35" customFormat="1" x14ac:dyDescent="0.2"/>
    <row r="9" spans="2:18" s="35" customFormat="1" ht="26.25" x14ac:dyDescent="0.4">
      <c r="B9" s="54" t="s">
        <v>261</v>
      </c>
      <c r="C9" s="54"/>
      <c r="D9" s="55"/>
    </row>
    <row r="10" spans="2:18" s="35" customFormat="1" ht="22.5" customHeight="1" x14ac:dyDescent="0.25">
      <c r="B10" s="53" t="s">
        <v>280</v>
      </c>
      <c r="C10" s="53"/>
      <c r="D10" s="36"/>
      <c r="E10" s="36"/>
      <c r="F10" s="38"/>
    </row>
    <row r="12" spans="2:18" ht="25.5" customHeight="1" x14ac:dyDescent="0.2">
      <c r="B12" s="92" t="s">
        <v>254</v>
      </c>
      <c r="C12" s="92"/>
      <c r="D12" s="61">
        <v>4.5</v>
      </c>
      <c r="E12" s="61" t="s">
        <v>259</v>
      </c>
    </row>
    <row r="13" spans="2:18" ht="25.5" customHeight="1" x14ac:dyDescent="0.2">
      <c r="B13" s="93" t="s">
        <v>260</v>
      </c>
      <c r="C13" s="93"/>
      <c r="D13" s="57"/>
      <c r="E13" s="41" t="s">
        <v>259</v>
      </c>
    </row>
    <row r="15" spans="2:18" ht="18" customHeight="1" x14ac:dyDescent="0.2">
      <c r="B15" s="41" t="s">
        <v>310</v>
      </c>
      <c r="D15" s="57"/>
      <c r="E15" s="41" t="s">
        <v>45</v>
      </c>
    </row>
    <row r="16" spans="2:18" ht="18" customHeight="1" x14ac:dyDescent="0.2">
      <c r="B16" s="41" t="s">
        <v>311</v>
      </c>
      <c r="D16" s="57"/>
      <c r="E16" s="41" t="s">
        <v>45</v>
      </c>
    </row>
    <row r="17" spans="2:21" ht="18" customHeight="1" x14ac:dyDescent="0.2">
      <c r="B17" s="41" t="s">
        <v>113</v>
      </c>
      <c r="D17" s="129" t="str">
        <f>IFERROR(D16/D15," ")</f>
        <v xml:space="preserve"> </v>
      </c>
    </row>
    <row r="18" spans="2:21" ht="18" customHeight="1" x14ac:dyDescent="0.2">
      <c r="D18" s="41" t="str">
        <f>IF(D17&lt;0.8,"Assessed area is less than 80% of total; non-NABERS area must be assessed using one of the other assessment pathways","")</f>
        <v/>
      </c>
    </row>
    <row r="19" spans="2:21" ht="18" customHeight="1" x14ac:dyDescent="0.2">
      <c r="B19" s="41" t="s">
        <v>257</v>
      </c>
    </row>
    <row r="20" spans="2:21" ht="18" customHeight="1" x14ac:dyDescent="0.2">
      <c r="B20" s="94" t="s">
        <v>43</v>
      </c>
      <c r="C20" s="94"/>
      <c r="D20" s="57"/>
    </row>
    <row r="21" spans="2:21" ht="18" customHeight="1" x14ac:dyDescent="0.2">
      <c r="B21" s="94" t="s">
        <v>46</v>
      </c>
      <c r="C21" s="94"/>
      <c r="D21" s="57"/>
      <c r="E21" s="41" t="s">
        <v>47</v>
      </c>
    </row>
    <row r="22" spans="2:21" ht="18" customHeight="1" x14ac:dyDescent="0.2">
      <c r="B22" s="94" t="s">
        <v>44</v>
      </c>
      <c r="C22" s="94"/>
      <c r="D22" s="57"/>
      <c r="E22" s="41" t="s">
        <v>45</v>
      </c>
    </row>
    <row r="23" spans="2:21" ht="18" customHeight="1" x14ac:dyDescent="0.2">
      <c r="B23" s="95" t="s">
        <v>56</v>
      </c>
      <c r="C23" s="95"/>
      <c r="D23" s="57"/>
      <c r="E23" s="41" t="s">
        <v>48</v>
      </c>
      <c r="F23" s="96"/>
    </row>
    <row r="24" spans="2:21" ht="18" customHeight="1" x14ac:dyDescent="0.2"/>
    <row r="25" spans="2:21" ht="18" customHeight="1" x14ac:dyDescent="0.2">
      <c r="B25" s="69" t="s">
        <v>258</v>
      </c>
      <c r="C25" s="69"/>
      <c r="H25" s="130"/>
      <c r="I25" s="130"/>
      <c r="J25" s="130"/>
      <c r="K25" s="130"/>
      <c r="L25" s="130"/>
      <c r="M25" s="130"/>
      <c r="N25" s="130"/>
      <c r="O25" s="130"/>
      <c r="P25" s="130"/>
      <c r="Q25" s="130"/>
      <c r="R25" s="130"/>
      <c r="S25" s="130"/>
      <c r="T25" s="130"/>
      <c r="U25" s="130"/>
    </row>
    <row r="26" spans="2:21" ht="18" customHeight="1" x14ac:dyDescent="0.2">
      <c r="B26" s="94" t="s">
        <v>55</v>
      </c>
      <c r="C26" s="94"/>
      <c r="D26" s="57"/>
      <c r="E26" s="41" t="s">
        <v>48</v>
      </c>
      <c r="H26" s="130"/>
      <c r="I26" s="130"/>
      <c r="J26" s="130"/>
      <c r="K26" s="130"/>
      <c r="L26" s="130"/>
      <c r="M26" s="130"/>
      <c r="N26" s="130"/>
      <c r="O26" s="130"/>
      <c r="P26" s="130"/>
      <c r="Q26" s="130"/>
      <c r="R26" s="130"/>
      <c r="S26" s="130"/>
      <c r="T26" s="130"/>
      <c r="U26" s="130"/>
    </row>
    <row r="27" spans="2:21" x14ac:dyDescent="0.2">
      <c r="H27" s="130"/>
      <c r="I27" s="130"/>
      <c r="J27" s="130"/>
      <c r="K27" s="130"/>
      <c r="L27" s="130"/>
      <c r="M27" s="130"/>
      <c r="N27" s="130"/>
      <c r="O27" s="130"/>
      <c r="P27" s="130"/>
      <c r="Q27" s="130"/>
      <c r="R27" s="130"/>
      <c r="S27" s="130"/>
      <c r="T27" s="130"/>
      <c r="U27" s="130"/>
    </row>
    <row r="28" spans="2:21" ht="18" customHeight="1" thickBot="1" x14ac:dyDescent="0.25">
      <c r="B28" s="87" t="s">
        <v>54</v>
      </c>
      <c r="C28" s="87"/>
      <c r="D28" s="71">
        <f>IFERROR(IF(ISBLANK(D26)=TRUE,0,MIN(MAX((D23-D26)/D23,0),1)),"")</f>
        <v>0</v>
      </c>
      <c r="E28" s="71"/>
      <c r="G28" s="128" t="s">
        <v>296</v>
      </c>
      <c r="H28" s="130"/>
      <c r="I28" s="130"/>
      <c r="J28" s="130"/>
      <c r="K28" s="130"/>
      <c r="L28" s="130"/>
      <c r="M28" s="130"/>
      <c r="N28" s="130"/>
      <c r="O28" s="130"/>
      <c r="P28" s="130"/>
      <c r="Q28" s="130"/>
      <c r="R28" s="130"/>
      <c r="S28" s="130"/>
      <c r="T28" s="130"/>
      <c r="U28" s="130"/>
    </row>
    <row r="29" spans="2:21" ht="18" customHeight="1" thickTop="1" x14ac:dyDescent="0.2">
      <c r="H29" s="130"/>
      <c r="I29" s="130"/>
      <c r="J29" s="130"/>
      <c r="K29" s="130"/>
      <c r="L29" s="130"/>
      <c r="M29" s="130"/>
      <c r="N29" s="130"/>
      <c r="O29" s="130"/>
      <c r="P29" s="130"/>
      <c r="Q29" s="130"/>
      <c r="R29" s="130"/>
      <c r="S29" s="130"/>
      <c r="T29" s="130"/>
      <c r="U29" s="130"/>
    </row>
    <row r="30" spans="2:21" ht="18" customHeight="1" x14ac:dyDescent="0.2">
      <c r="B30" s="52" t="s">
        <v>290</v>
      </c>
      <c r="C30" s="47"/>
      <c r="D30" s="47"/>
      <c r="E30" s="47"/>
      <c r="H30" s="130"/>
      <c r="I30" s="130"/>
      <c r="J30" s="130"/>
      <c r="K30" s="130"/>
      <c r="L30" s="130"/>
      <c r="M30" s="130"/>
      <c r="N30" s="130"/>
      <c r="O30" s="130"/>
      <c r="P30" s="130"/>
      <c r="Q30" s="130"/>
      <c r="R30" s="130"/>
      <c r="S30" s="130"/>
      <c r="T30" s="130"/>
      <c r="U30" s="130"/>
    </row>
    <row r="31" spans="2:21" ht="18" customHeight="1" x14ac:dyDescent="0.2">
      <c r="C31" s="98" t="s">
        <v>67</v>
      </c>
      <c r="D31" s="84">
        <f>IFERROR(D28*F31,"")</f>
        <v>0</v>
      </c>
      <c r="F31" s="127">
        <f>IFERROR(G31/(G31+F32)*D33,0)</f>
        <v>0</v>
      </c>
      <c r="G31" s="127">
        <f>IFERROR((0.28*'15.D Modelled Path'!O93+0.75*'15.D Modelled Path'!O103)*IF(D17&lt;0.8,1,D17),0)</f>
        <v>0</v>
      </c>
      <c r="H31" s="131"/>
      <c r="I31" s="130"/>
      <c r="J31" s="130"/>
      <c r="K31" s="130"/>
      <c r="L31" s="130"/>
      <c r="M31" s="130"/>
      <c r="N31" s="130"/>
      <c r="O31" s="130"/>
      <c r="P31" s="130"/>
      <c r="Q31" s="130"/>
      <c r="R31" s="130"/>
      <c r="S31" s="130"/>
      <c r="T31" s="130"/>
      <c r="U31" s="130"/>
    </row>
    <row r="32" spans="2:21" ht="18" hidden="1" customHeight="1" x14ac:dyDescent="0.2">
      <c r="C32" s="99" t="s">
        <v>68</v>
      </c>
      <c r="D32" s="84" t="str">
        <f>IFERROR(MIN(MAX(0,(#REF!*E32)/(#REF!-#REF!)-(#REF!*E32)/(#REF!-#REF!)),E32),"")</f>
        <v/>
      </c>
      <c r="E32" s="97">
        <v>0</v>
      </c>
      <c r="F32" s="97">
        <v>0</v>
      </c>
      <c r="H32" s="130"/>
      <c r="I32" s="130"/>
      <c r="J32" s="130"/>
      <c r="K32" s="130"/>
      <c r="L32" s="130"/>
      <c r="M32" s="130"/>
      <c r="N32" s="130"/>
      <c r="O32" s="130"/>
      <c r="P32" s="130"/>
      <c r="Q32" s="130"/>
      <c r="R32" s="130"/>
      <c r="S32" s="130"/>
      <c r="T32" s="130"/>
      <c r="U32" s="130"/>
    </row>
    <row r="33" spans="3:21" ht="18" customHeight="1" x14ac:dyDescent="0.2">
      <c r="C33" s="100" t="s">
        <v>63</v>
      </c>
      <c r="D33" s="84">
        <v>16</v>
      </c>
      <c r="H33" s="130"/>
      <c r="I33" s="130"/>
      <c r="J33" s="130"/>
      <c r="K33" s="130"/>
      <c r="L33" s="130"/>
      <c r="M33" s="130"/>
      <c r="N33" s="130"/>
      <c r="O33" s="130"/>
      <c r="P33" s="130"/>
      <c r="Q33" s="130"/>
      <c r="R33" s="130"/>
      <c r="S33" s="130"/>
      <c r="T33" s="130"/>
      <c r="U33" s="130"/>
    </row>
    <row r="37" spans="3:21" ht="12.75" customHeight="1" x14ac:dyDescent="0.2"/>
  </sheetData>
  <sheetProtection password="E6B1" sheet="1" objects="1" scenarios="1"/>
  <pageMargins left="0.7" right="0.7" top="0.75" bottom="0.75" header="0.3" footer="0.3"/>
  <pageSetup paperSize="254" scale="2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18"/>
  <sheetViews>
    <sheetView showGridLines="0" zoomScaleNormal="100" workbookViewId="0">
      <selection activeCell="C11" sqref="C11"/>
    </sheetView>
  </sheetViews>
  <sheetFormatPr defaultRowHeight="12.75" x14ac:dyDescent="0.2"/>
  <cols>
    <col min="1" max="1" width="1.42578125" customWidth="1"/>
    <col min="2" max="2" width="37.85546875" style="19" customWidth="1"/>
    <col min="3" max="11" width="18.140625" customWidth="1"/>
    <col min="12" max="12" width="50.28515625" customWidth="1"/>
    <col min="14" max="17" width="9.140625" customWidth="1"/>
  </cols>
  <sheetData>
    <row r="1" spans="2:18" s="25" customFormat="1" ht="14.25" x14ac:dyDescent="0.2">
      <c r="D1" s="26"/>
      <c r="O1" s="25" t="s">
        <v>273</v>
      </c>
      <c r="P1" s="25" t="s">
        <v>273</v>
      </c>
      <c r="Q1" s="25" t="s">
        <v>273</v>
      </c>
    </row>
    <row r="2" spans="2:18" s="25" customFormat="1" ht="103.5" customHeight="1" x14ac:dyDescent="0.35">
      <c r="B2" s="27"/>
      <c r="D2" s="26"/>
    </row>
    <row r="3" spans="2:18" s="25" customFormat="1" ht="72.75" customHeight="1" x14ac:dyDescent="0.35">
      <c r="B3" s="27"/>
      <c r="D3" s="26"/>
    </row>
    <row r="4" spans="2:18" s="25" customFormat="1" ht="9.75" customHeight="1" x14ac:dyDescent="0.35">
      <c r="B4" s="27"/>
      <c r="D4" s="26"/>
    </row>
    <row r="5" spans="2:18" s="25" customFormat="1" ht="14.25" x14ac:dyDescent="0.2">
      <c r="B5" s="160" t="s">
        <v>275</v>
      </c>
      <c r="C5" s="29"/>
      <c r="D5" s="26"/>
    </row>
    <row r="6" spans="2:18" s="35" customFormat="1" ht="14.25" x14ac:dyDescent="0.2">
      <c r="H6" s="30"/>
      <c r="L6" s="30"/>
      <c r="M6" s="30"/>
      <c r="N6" s="30"/>
      <c r="O6" s="30"/>
      <c r="P6" s="30"/>
      <c r="Q6" s="30"/>
      <c r="R6" s="30"/>
    </row>
    <row r="7" spans="2:18" s="35" customFormat="1" x14ac:dyDescent="0.2">
      <c r="B7" s="56" t="s">
        <v>308</v>
      </c>
    </row>
    <row r="8" spans="2:18" s="35" customFormat="1" x14ac:dyDescent="0.2"/>
    <row r="9" spans="2:18" s="35" customFormat="1" ht="26.25" x14ac:dyDescent="0.4">
      <c r="B9" s="54" t="s">
        <v>262</v>
      </c>
      <c r="C9" s="54"/>
      <c r="D9" s="55"/>
    </row>
    <row r="10" spans="2:18" s="35" customFormat="1" ht="22.5" customHeight="1" x14ac:dyDescent="0.25">
      <c r="B10" s="53" t="s">
        <v>280</v>
      </c>
      <c r="C10" s="53"/>
      <c r="D10" s="36"/>
      <c r="E10" s="36"/>
    </row>
    <row r="11" spans="2:18" s="1" customFormat="1" ht="18" customHeight="1" x14ac:dyDescent="0.2">
      <c r="B11" s="92" t="s">
        <v>86</v>
      </c>
      <c r="C11" s="57" t="s">
        <v>124</v>
      </c>
    </row>
    <row r="12" spans="2:18" s="1" customFormat="1" ht="30" customHeight="1" x14ac:dyDescent="0.2">
      <c r="B12" s="93" t="s">
        <v>122</v>
      </c>
      <c r="C12" s="57" t="s">
        <v>66</v>
      </c>
    </row>
    <row r="13" spans="2:18" s="1" customFormat="1" ht="18" customHeight="1" x14ac:dyDescent="0.2">
      <c r="B13" s="15"/>
    </row>
    <row r="14" spans="2:18" s="1" customFormat="1" ht="18" customHeight="1" x14ac:dyDescent="0.2">
      <c r="B14" s="15" t="s">
        <v>154</v>
      </c>
      <c r="D14" s="6" t="s">
        <v>213</v>
      </c>
    </row>
    <row r="15" spans="2:18" s="1" customFormat="1" ht="18" customHeight="1" x14ac:dyDescent="0.2">
      <c r="B15" s="45" t="s">
        <v>103</v>
      </c>
      <c r="C15" s="101">
        <f>IFERROR(VLOOKUP($C$11,GeoGHGFactor,2,FALSE),"Select Location")</f>
        <v>1.05</v>
      </c>
      <c r="D15" s="45" t="s">
        <v>152</v>
      </c>
      <c r="O15" s="1" t="s">
        <v>104</v>
      </c>
    </row>
    <row r="16" spans="2:18" s="1" customFormat="1" ht="18" customHeight="1" x14ac:dyDescent="0.2">
      <c r="B16" s="45" t="s">
        <v>87</v>
      </c>
      <c r="C16" s="101">
        <f>IFERROR(VLOOKUP($C$11,GeoGHGFactor,3,FALSE),"Select Location")</f>
        <v>6.4129999999999993E-2</v>
      </c>
      <c r="D16" s="45" t="s">
        <v>153</v>
      </c>
      <c r="O16" s="1" t="s">
        <v>104</v>
      </c>
    </row>
    <row r="17" spans="2:16" s="1" customFormat="1" ht="18" customHeight="1" x14ac:dyDescent="0.2">
      <c r="B17" s="45" t="s">
        <v>96</v>
      </c>
      <c r="C17" s="101">
        <f>64.9/1000</f>
        <v>6.4899999999999999E-2</v>
      </c>
      <c r="D17" s="45" t="s">
        <v>153</v>
      </c>
      <c r="O17" s="1" t="s">
        <v>151</v>
      </c>
    </row>
    <row r="18" spans="2:16" s="1" customFormat="1" ht="18" customHeight="1" x14ac:dyDescent="0.2">
      <c r="B18" s="45" t="s">
        <v>97</v>
      </c>
      <c r="C18" s="101">
        <f>74.8/1000</f>
        <v>7.4799999999999991E-2</v>
      </c>
      <c r="D18" s="45" t="s">
        <v>153</v>
      </c>
    </row>
    <row r="19" spans="2:16" s="1" customFormat="1" ht="18" customHeight="1" x14ac:dyDescent="0.2">
      <c r="B19" s="45" t="s">
        <v>98</v>
      </c>
      <c r="C19" s="101">
        <f>93.03/1000</f>
        <v>9.3030000000000002E-2</v>
      </c>
      <c r="D19" s="45" t="s">
        <v>153</v>
      </c>
    </row>
    <row r="20" spans="2:16" s="1" customFormat="1" ht="18" customHeight="1" x14ac:dyDescent="0.2">
      <c r="B20" s="45" t="s">
        <v>99</v>
      </c>
      <c r="C20" s="101">
        <f>1.8/1000</f>
        <v>1.8E-3</v>
      </c>
      <c r="D20" s="45" t="s">
        <v>153</v>
      </c>
    </row>
    <row r="21" spans="2:16" s="1" customFormat="1" ht="18" customHeight="1" x14ac:dyDescent="0.2">
      <c r="B21" s="45" t="s">
        <v>100</v>
      </c>
      <c r="C21" s="101">
        <f>0.26/1000</f>
        <v>2.6000000000000003E-4</v>
      </c>
      <c r="D21" s="45" t="s">
        <v>153</v>
      </c>
    </row>
    <row r="22" spans="2:16" s="1" customFormat="1" ht="18" customHeight="1" x14ac:dyDescent="0.2">
      <c r="B22" s="45" t="s">
        <v>101</v>
      </c>
      <c r="C22" s="101">
        <f>IF(ISBLANK(H27)=TRUE,P29,IF(H27="&lt;90%",C27,P29-F27/10*(P29-C27)))</f>
        <v>4.8611111111111112E-2</v>
      </c>
      <c r="D22" s="45" t="s">
        <v>153</v>
      </c>
      <c r="O22" s="1" t="s">
        <v>151</v>
      </c>
    </row>
    <row r="23" spans="2:16" s="1" customFormat="1" ht="18" customHeight="1" x14ac:dyDescent="0.2">
      <c r="B23" s="45" t="s">
        <v>102</v>
      </c>
      <c r="C23" s="101">
        <f>IF(ISBLANK(H28)=TRUE,P30,IF(H28="&lt;90%",C28,P30-F28/10*(P30-C28)))</f>
        <v>8.4991566265060242E-2</v>
      </c>
      <c r="D23" s="45" t="s">
        <v>153</v>
      </c>
      <c r="O23" s="1" t="s">
        <v>151</v>
      </c>
    </row>
    <row r="24" spans="2:16" s="1" customFormat="1" ht="18" customHeight="1" x14ac:dyDescent="0.2">
      <c r="B24" s="45" t="s">
        <v>220</v>
      </c>
      <c r="C24" s="101">
        <f>IF(ISBLANK(H29)=TRUE,P31,IF(H29="&lt;90%",C29,P31-F29/10*(P31-C29)))</f>
        <v>8.4991566265060242E-2</v>
      </c>
      <c r="D24" s="45" t="s">
        <v>153</v>
      </c>
      <c r="O24" s="1" t="s">
        <v>151</v>
      </c>
    </row>
    <row r="25" spans="2:16" s="1" customFormat="1" ht="18" customHeight="1" x14ac:dyDescent="0.2">
      <c r="B25" s="45" t="s">
        <v>244</v>
      </c>
      <c r="C25" s="101">
        <f>P32-F30/10*(P32-C30)</f>
        <v>1.05</v>
      </c>
      <c r="D25" s="45" t="s">
        <v>152</v>
      </c>
    </row>
    <row r="26" spans="2:16" s="1" customFormat="1" ht="18" customHeight="1" x14ac:dyDescent="0.2">
      <c r="O26" s="1" t="s">
        <v>151</v>
      </c>
    </row>
    <row r="27" spans="2:16" s="1" customFormat="1" ht="18" customHeight="1" x14ac:dyDescent="0.2">
      <c r="B27" s="6" t="s">
        <v>297</v>
      </c>
      <c r="C27" s="57"/>
      <c r="D27" s="1" t="s">
        <v>153</v>
      </c>
      <c r="E27" s="6" t="s">
        <v>240</v>
      </c>
      <c r="F27" s="57"/>
      <c r="G27" s="6" t="s">
        <v>242</v>
      </c>
      <c r="H27" s="57"/>
    </row>
    <row r="28" spans="2:16" s="1" customFormat="1" ht="18" customHeight="1" x14ac:dyDescent="0.2">
      <c r="B28" s="6" t="s">
        <v>298</v>
      </c>
      <c r="C28" s="57"/>
      <c r="D28" s="1" t="s">
        <v>153</v>
      </c>
      <c r="E28" s="6" t="s">
        <v>240</v>
      </c>
      <c r="F28" s="57"/>
      <c r="G28" s="6" t="s">
        <v>242</v>
      </c>
      <c r="H28" s="57"/>
    </row>
    <row r="29" spans="2:16" s="1" customFormat="1" ht="18" customHeight="1" x14ac:dyDescent="0.2">
      <c r="B29" s="6" t="s">
        <v>299</v>
      </c>
      <c r="C29" s="57"/>
      <c r="D29" s="1" t="s">
        <v>153</v>
      </c>
      <c r="E29" s="6" t="s">
        <v>240</v>
      </c>
      <c r="F29" s="57"/>
      <c r="G29" s="6" t="s">
        <v>242</v>
      </c>
      <c r="H29" s="57"/>
      <c r="O29" s="6" t="s">
        <v>243</v>
      </c>
      <c r="P29" s="1">
        <f>C15/6/3.6</f>
        <v>4.8611111111111112E-2</v>
      </c>
    </row>
    <row r="30" spans="2:16" s="1" customFormat="1" ht="18" customHeight="1" x14ac:dyDescent="0.2">
      <c r="B30" s="15" t="s">
        <v>300</v>
      </c>
      <c r="C30" s="57"/>
      <c r="D30" s="1" t="s">
        <v>152</v>
      </c>
      <c r="E30" s="6" t="s">
        <v>239</v>
      </c>
      <c r="F30" s="57"/>
      <c r="O30" s="6" t="s">
        <v>243</v>
      </c>
      <c r="P30" s="1">
        <f>C16/0.83*1.1</f>
        <v>8.4991566265060242E-2</v>
      </c>
    </row>
    <row r="31" spans="2:16" x14ac:dyDescent="0.2">
      <c r="O31" s="6" t="s">
        <v>243</v>
      </c>
      <c r="P31" s="1">
        <f>C16/0.83*1.1</f>
        <v>8.4991566265060242E-2</v>
      </c>
    </row>
    <row r="32" spans="2:16" s="1" customFormat="1" ht="22.5" customHeight="1" x14ac:dyDescent="0.2">
      <c r="B32" s="103"/>
      <c r="C32" s="186" t="s">
        <v>85</v>
      </c>
      <c r="D32" s="187"/>
      <c r="E32" s="187"/>
      <c r="F32" s="186" t="s">
        <v>111</v>
      </c>
      <c r="G32" s="188"/>
      <c r="H32" s="186" t="s">
        <v>314</v>
      </c>
      <c r="I32" s="187"/>
      <c r="J32" s="188"/>
      <c r="K32" s="187" t="s">
        <v>105</v>
      </c>
      <c r="L32" s="187" t="s">
        <v>329</v>
      </c>
      <c r="O32" s="6" t="s">
        <v>243</v>
      </c>
      <c r="P32" s="1">
        <f>C15</f>
        <v>1.05</v>
      </c>
    </row>
    <row r="33" spans="2:12" s="1" customFormat="1" ht="22.5" customHeight="1" x14ac:dyDescent="0.2">
      <c r="B33" s="104"/>
      <c r="C33" s="149" t="s">
        <v>90</v>
      </c>
      <c r="D33" s="200" t="s">
        <v>339</v>
      </c>
      <c r="E33" s="147" t="s">
        <v>79</v>
      </c>
      <c r="F33" s="200" t="s">
        <v>339</v>
      </c>
      <c r="G33" s="150" t="s">
        <v>79</v>
      </c>
      <c r="H33" s="149" t="s">
        <v>90</v>
      </c>
      <c r="I33" s="201" t="s">
        <v>339</v>
      </c>
      <c r="J33" s="150" t="s">
        <v>79</v>
      </c>
      <c r="K33" s="187"/>
      <c r="L33" s="187"/>
    </row>
    <row r="34" spans="2:12" s="1" customFormat="1" ht="18" customHeight="1" x14ac:dyDescent="0.2">
      <c r="B34" s="58" t="s">
        <v>9</v>
      </c>
      <c r="C34" s="151"/>
      <c r="D34" s="58"/>
      <c r="E34" s="58"/>
      <c r="F34" s="151"/>
      <c r="G34" s="152"/>
      <c r="H34" s="151"/>
      <c r="I34" s="58"/>
      <c r="J34" s="152"/>
      <c r="K34" s="58"/>
      <c r="L34" s="58"/>
    </row>
    <row r="35" spans="2:12" s="1" customFormat="1" ht="18" customHeight="1" x14ac:dyDescent="0.2">
      <c r="B35" s="112" t="s">
        <v>69</v>
      </c>
      <c r="C35" s="120"/>
      <c r="D35" s="120"/>
      <c r="E35" s="102" t="str">
        <f t="shared" ref="E35:E42" si="0">IFERROR(VLOOKUP(C35,$B$15:$C$25,2,FALSE)*D35,"")</f>
        <v/>
      </c>
      <c r="F35" s="120"/>
      <c r="G35" s="102" t="str">
        <f t="shared" ref="G35:G42" si="1">IFERROR(VLOOKUP(C35,$B$15:$C$25,2,FALSE)*F35,"")</f>
        <v/>
      </c>
      <c r="H35" s="120"/>
      <c r="I35" s="120"/>
      <c r="J35" s="102" t="str">
        <f t="shared" ref="J35:J42" si="2">IFERROR(VLOOKUP(H35,$B$15:$C$25,2,FALSE)*I35,"")</f>
        <v/>
      </c>
      <c r="K35" s="108" t="str">
        <f>IFERROR(IF(H35=$B$23,(D35-F35)/D35,(D35-I35)/D35),"")</f>
        <v/>
      </c>
      <c r="L35" s="154"/>
    </row>
    <row r="36" spans="2:12" s="1" customFormat="1" ht="18" customHeight="1" x14ac:dyDescent="0.2">
      <c r="B36" s="112" t="s">
        <v>69</v>
      </c>
      <c r="C36" s="120"/>
      <c r="D36" s="120"/>
      <c r="E36" s="102" t="str">
        <f t="shared" si="0"/>
        <v/>
      </c>
      <c r="F36" s="120"/>
      <c r="G36" s="102" t="str">
        <f t="shared" si="1"/>
        <v/>
      </c>
      <c r="H36" s="120"/>
      <c r="I36" s="120"/>
      <c r="J36" s="102" t="str">
        <f t="shared" si="2"/>
        <v/>
      </c>
      <c r="K36" s="108" t="str">
        <f>IFERROR(IF(H36=$B$23,(D36-F36)/D36,(D36-I36)/D36),"")</f>
        <v/>
      </c>
      <c r="L36" s="154"/>
    </row>
    <row r="37" spans="2:12" s="1" customFormat="1" ht="18" customHeight="1" x14ac:dyDescent="0.2">
      <c r="B37" s="112" t="s">
        <v>70</v>
      </c>
      <c r="C37" s="120"/>
      <c r="D37" s="120"/>
      <c r="E37" s="102" t="str">
        <f t="shared" si="0"/>
        <v/>
      </c>
      <c r="F37" s="120"/>
      <c r="G37" s="102" t="str">
        <f t="shared" si="1"/>
        <v/>
      </c>
      <c r="H37" s="120"/>
      <c r="I37" s="120"/>
      <c r="J37" s="102" t="str">
        <f t="shared" si="2"/>
        <v/>
      </c>
      <c r="K37" s="108" t="str">
        <f>IFERROR(IF(H37=$B$22,(D37-F37)/D37,(D37-I37)/D37),"")</f>
        <v/>
      </c>
      <c r="L37" s="154"/>
    </row>
    <row r="38" spans="2:12" s="1" customFormat="1" ht="18" customHeight="1" x14ac:dyDescent="0.2">
      <c r="B38" s="112" t="s">
        <v>70</v>
      </c>
      <c r="C38" s="120"/>
      <c r="D38" s="120"/>
      <c r="E38" s="102" t="str">
        <f t="shared" si="0"/>
        <v/>
      </c>
      <c r="F38" s="120"/>
      <c r="G38" s="102" t="str">
        <f t="shared" si="1"/>
        <v/>
      </c>
      <c r="H38" s="120"/>
      <c r="I38" s="120"/>
      <c r="J38" s="102" t="str">
        <f t="shared" si="2"/>
        <v/>
      </c>
      <c r="K38" s="108" t="str">
        <f>IFERROR(IF(H38=$B$22,(D38-F38)/D38,(D38-I38)/D38),"")</f>
        <v/>
      </c>
      <c r="L38" s="154"/>
    </row>
    <row r="39" spans="2:12" s="1" customFormat="1" ht="18" customHeight="1" x14ac:dyDescent="0.2">
      <c r="B39" s="112" t="s">
        <v>71</v>
      </c>
      <c r="C39" s="120"/>
      <c r="D39" s="120"/>
      <c r="E39" s="102" t="str">
        <f t="shared" si="0"/>
        <v/>
      </c>
      <c r="F39" s="120"/>
      <c r="G39" s="102" t="str">
        <f t="shared" si="1"/>
        <v/>
      </c>
      <c r="H39" s="120"/>
      <c r="I39" s="120"/>
      <c r="J39" s="102" t="str">
        <f t="shared" si="2"/>
        <v/>
      </c>
      <c r="K39" s="108" t="str">
        <f>IFERROR((D39-I39)/D39,"")</f>
        <v/>
      </c>
      <c r="L39" s="154"/>
    </row>
    <row r="40" spans="2:12" s="1" customFormat="1" ht="18" customHeight="1" x14ac:dyDescent="0.2">
      <c r="B40" s="112" t="s">
        <v>72</v>
      </c>
      <c r="C40" s="120"/>
      <c r="D40" s="120"/>
      <c r="E40" s="102" t="str">
        <f t="shared" si="0"/>
        <v/>
      </c>
      <c r="F40" s="120"/>
      <c r="G40" s="102" t="str">
        <f t="shared" si="1"/>
        <v/>
      </c>
      <c r="H40" s="120"/>
      <c r="I40" s="120"/>
      <c r="J40" s="102" t="str">
        <f t="shared" si="2"/>
        <v/>
      </c>
      <c r="K40" s="108" t="str">
        <f t="shared" ref="K40:K42" si="3">IFERROR((D40-I40)/D40,"")</f>
        <v/>
      </c>
      <c r="L40" s="154"/>
    </row>
    <row r="41" spans="2:12" s="1" customFormat="1" ht="18" customHeight="1" x14ac:dyDescent="0.2">
      <c r="B41" s="112" t="s">
        <v>73</v>
      </c>
      <c r="C41" s="120"/>
      <c r="D41" s="120"/>
      <c r="E41" s="102" t="str">
        <f t="shared" si="0"/>
        <v/>
      </c>
      <c r="F41" s="120"/>
      <c r="G41" s="102" t="str">
        <f t="shared" si="1"/>
        <v/>
      </c>
      <c r="H41" s="120"/>
      <c r="I41" s="120"/>
      <c r="J41" s="102" t="str">
        <f t="shared" si="2"/>
        <v/>
      </c>
      <c r="K41" s="108" t="str">
        <f t="shared" si="3"/>
        <v/>
      </c>
      <c r="L41" s="154"/>
    </row>
    <row r="42" spans="2:12" s="1" customFormat="1" ht="18" customHeight="1" x14ac:dyDescent="0.2">
      <c r="B42" s="112" t="s">
        <v>74</v>
      </c>
      <c r="C42" s="120"/>
      <c r="D42" s="120"/>
      <c r="E42" s="102" t="str">
        <f t="shared" si="0"/>
        <v/>
      </c>
      <c r="F42" s="120"/>
      <c r="G42" s="102" t="str">
        <f t="shared" si="1"/>
        <v/>
      </c>
      <c r="H42" s="120"/>
      <c r="I42" s="120"/>
      <c r="J42" s="102" t="str">
        <f t="shared" si="2"/>
        <v/>
      </c>
      <c r="K42" s="108" t="str">
        <f t="shared" si="3"/>
        <v/>
      </c>
      <c r="L42" s="154"/>
    </row>
    <row r="43" spans="2:12" s="1" customFormat="1" ht="18" customHeight="1" x14ac:dyDescent="0.2">
      <c r="B43" s="58" t="s">
        <v>75</v>
      </c>
      <c r="C43" s="151"/>
      <c r="D43" s="58"/>
      <c r="E43" s="58"/>
      <c r="F43" s="151"/>
      <c r="G43" s="152"/>
      <c r="H43" s="151"/>
      <c r="I43" s="58"/>
      <c r="J43" s="152"/>
      <c r="K43" s="58"/>
      <c r="L43" s="58"/>
    </row>
    <row r="44" spans="2:12" s="1" customFormat="1" ht="18" customHeight="1" x14ac:dyDescent="0.2">
      <c r="B44" s="112" t="s">
        <v>12</v>
      </c>
      <c r="C44" s="120"/>
      <c r="D44" s="120"/>
      <c r="E44" s="102" t="str">
        <f t="shared" ref="E44:E56" si="4">IFERROR(VLOOKUP(C44,$B$15:$C$25,2,FALSE)*D44,"")</f>
        <v/>
      </c>
      <c r="F44" s="155">
        <f>D44</f>
        <v>0</v>
      </c>
      <c r="G44" s="102" t="str">
        <f t="shared" ref="G44:G56" si="5">IFERROR(VLOOKUP(C44,$B$15:$C$25,2,FALSE)*F44,"")</f>
        <v/>
      </c>
      <c r="H44" s="120"/>
      <c r="I44" s="120"/>
      <c r="J44" s="102" t="str">
        <f t="shared" ref="J44:J56" si="6">IFERROR(VLOOKUP(H44,$B$15:$C$25,2,FALSE)*I44,"")</f>
        <v/>
      </c>
      <c r="K44" s="108" t="str">
        <f t="shared" ref="K44:K56" si="7">IFERROR((D44-I44)/D44,"")</f>
        <v/>
      </c>
      <c r="L44" s="154"/>
    </row>
    <row r="45" spans="2:12" s="1" customFormat="1" ht="18" customHeight="1" x14ac:dyDescent="0.2">
      <c r="B45" s="112" t="s">
        <v>108</v>
      </c>
      <c r="C45" s="120"/>
      <c r="D45" s="120"/>
      <c r="E45" s="102" t="str">
        <f t="shared" si="4"/>
        <v/>
      </c>
      <c r="F45" s="155">
        <f t="shared" ref="F45:F56" si="8">D45</f>
        <v>0</v>
      </c>
      <c r="G45" s="102" t="str">
        <f t="shared" si="5"/>
        <v/>
      </c>
      <c r="H45" s="120"/>
      <c r="I45" s="120"/>
      <c r="J45" s="102" t="str">
        <f t="shared" si="6"/>
        <v/>
      </c>
      <c r="K45" s="108" t="str">
        <f t="shared" si="7"/>
        <v/>
      </c>
      <c r="L45" s="154"/>
    </row>
    <row r="46" spans="2:12" s="1" customFormat="1" ht="18" customHeight="1" x14ac:dyDescent="0.2">
      <c r="B46" s="112" t="s">
        <v>109</v>
      </c>
      <c r="C46" s="120"/>
      <c r="D46" s="120"/>
      <c r="E46" s="102" t="str">
        <f t="shared" si="4"/>
        <v/>
      </c>
      <c r="F46" s="155">
        <f t="shared" si="8"/>
        <v>0</v>
      </c>
      <c r="G46" s="102" t="str">
        <f t="shared" si="5"/>
        <v/>
      </c>
      <c r="H46" s="120"/>
      <c r="I46" s="120"/>
      <c r="J46" s="102" t="str">
        <f t="shared" si="6"/>
        <v/>
      </c>
      <c r="K46" s="108" t="str">
        <f t="shared" si="7"/>
        <v/>
      </c>
      <c r="L46" s="154"/>
    </row>
    <row r="47" spans="2:12" s="1" customFormat="1" ht="18" customHeight="1" x14ac:dyDescent="0.2">
      <c r="B47" s="112" t="s">
        <v>76</v>
      </c>
      <c r="C47" s="120"/>
      <c r="D47" s="120"/>
      <c r="E47" s="102" t="str">
        <f t="shared" si="4"/>
        <v/>
      </c>
      <c r="F47" s="155">
        <f t="shared" si="8"/>
        <v>0</v>
      </c>
      <c r="G47" s="102" t="str">
        <f t="shared" si="5"/>
        <v/>
      </c>
      <c r="H47" s="120"/>
      <c r="I47" s="120"/>
      <c r="J47" s="102" t="str">
        <f t="shared" si="6"/>
        <v/>
      </c>
      <c r="K47" s="108" t="str">
        <f t="shared" si="7"/>
        <v/>
      </c>
      <c r="L47" s="154"/>
    </row>
    <row r="48" spans="2:12" s="1" customFormat="1" ht="18" customHeight="1" x14ac:dyDescent="0.2">
      <c r="B48" s="112" t="s">
        <v>77</v>
      </c>
      <c r="C48" s="120"/>
      <c r="D48" s="120"/>
      <c r="E48" s="102" t="str">
        <f t="shared" si="4"/>
        <v/>
      </c>
      <c r="F48" s="155">
        <f t="shared" si="8"/>
        <v>0</v>
      </c>
      <c r="G48" s="102" t="str">
        <f t="shared" si="5"/>
        <v/>
      </c>
      <c r="H48" s="120"/>
      <c r="I48" s="120"/>
      <c r="J48" s="102" t="str">
        <f t="shared" si="6"/>
        <v/>
      </c>
      <c r="K48" s="108" t="str">
        <f t="shared" si="7"/>
        <v/>
      </c>
      <c r="L48" s="154"/>
    </row>
    <row r="49" spans="2:12" s="1" customFormat="1" ht="18" customHeight="1" x14ac:dyDescent="0.2">
      <c r="B49" s="112" t="s">
        <v>78</v>
      </c>
      <c r="C49" s="120"/>
      <c r="D49" s="120"/>
      <c r="E49" s="102" t="str">
        <f t="shared" si="4"/>
        <v/>
      </c>
      <c r="F49" s="155">
        <f t="shared" si="8"/>
        <v>0</v>
      </c>
      <c r="G49" s="102" t="str">
        <f t="shared" si="5"/>
        <v/>
      </c>
      <c r="H49" s="120"/>
      <c r="I49" s="120"/>
      <c r="J49" s="102" t="str">
        <f t="shared" si="6"/>
        <v/>
      </c>
      <c r="K49" s="108" t="str">
        <f t="shared" si="7"/>
        <v/>
      </c>
      <c r="L49" s="154"/>
    </row>
    <row r="50" spans="2:12" s="1" customFormat="1" ht="18" customHeight="1" x14ac:dyDescent="0.2">
      <c r="B50" s="112" t="s">
        <v>227</v>
      </c>
      <c r="C50" s="120"/>
      <c r="D50" s="120"/>
      <c r="E50" s="102" t="str">
        <f t="shared" si="4"/>
        <v/>
      </c>
      <c r="F50" s="155">
        <f t="shared" si="8"/>
        <v>0</v>
      </c>
      <c r="G50" s="102" t="str">
        <f t="shared" si="5"/>
        <v/>
      </c>
      <c r="H50" s="120"/>
      <c r="I50" s="120"/>
      <c r="J50" s="102" t="str">
        <f t="shared" si="6"/>
        <v/>
      </c>
      <c r="K50" s="108" t="str">
        <f t="shared" si="7"/>
        <v/>
      </c>
      <c r="L50" s="154"/>
    </row>
    <row r="51" spans="2:12" s="1" customFormat="1" ht="18" customHeight="1" x14ac:dyDescent="0.2">
      <c r="B51" s="112" t="s">
        <v>241</v>
      </c>
      <c r="C51" s="120"/>
      <c r="D51" s="120"/>
      <c r="E51" s="102" t="str">
        <f t="shared" si="4"/>
        <v/>
      </c>
      <c r="F51" s="155">
        <f t="shared" si="8"/>
        <v>0</v>
      </c>
      <c r="G51" s="102" t="str">
        <f t="shared" si="5"/>
        <v/>
      </c>
      <c r="H51" s="120"/>
      <c r="I51" s="120"/>
      <c r="J51" s="102" t="str">
        <f t="shared" si="6"/>
        <v/>
      </c>
      <c r="K51" s="108" t="str">
        <f t="shared" si="7"/>
        <v/>
      </c>
      <c r="L51" s="154"/>
    </row>
    <row r="52" spans="2:12" s="1" customFormat="1" ht="18" customHeight="1" x14ac:dyDescent="0.2">
      <c r="B52" s="156" t="s">
        <v>91</v>
      </c>
      <c r="C52" s="120"/>
      <c r="D52" s="120"/>
      <c r="E52" s="102" t="str">
        <f t="shared" si="4"/>
        <v/>
      </c>
      <c r="F52" s="155">
        <f t="shared" si="8"/>
        <v>0</v>
      </c>
      <c r="G52" s="102" t="str">
        <f t="shared" si="5"/>
        <v/>
      </c>
      <c r="H52" s="120"/>
      <c r="I52" s="120"/>
      <c r="J52" s="102" t="str">
        <f t="shared" si="6"/>
        <v/>
      </c>
      <c r="K52" s="108" t="str">
        <f t="shared" si="7"/>
        <v/>
      </c>
      <c r="L52" s="154"/>
    </row>
    <row r="53" spans="2:12" s="1" customFormat="1" ht="18" customHeight="1" x14ac:dyDescent="0.2">
      <c r="B53" s="156" t="s">
        <v>92</v>
      </c>
      <c r="C53" s="120"/>
      <c r="D53" s="120"/>
      <c r="E53" s="102" t="str">
        <f t="shared" si="4"/>
        <v/>
      </c>
      <c r="F53" s="155">
        <f t="shared" si="8"/>
        <v>0</v>
      </c>
      <c r="G53" s="102" t="str">
        <f t="shared" si="5"/>
        <v/>
      </c>
      <c r="H53" s="120"/>
      <c r="I53" s="120"/>
      <c r="J53" s="102" t="str">
        <f t="shared" si="6"/>
        <v/>
      </c>
      <c r="K53" s="108" t="str">
        <f t="shared" si="7"/>
        <v/>
      </c>
      <c r="L53" s="154"/>
    </row>
    <row r="54" spans="2:12" s="1" customFormat="1" ht="18" customHeight="1" x14ac:dyDescent="0.2">
      <c r="B54" s="156" t="s">
        <v>93</v>
      </c>
      <c r="C54" s="120"/>
      <c r="D54" s="120"/>
      <c r="E54" s="102" t="str">
        <f t="shared" si="4"/>
        <v/>
      </c>
      <c r="F54" s="155">
        <f t="shared" si="8"/>
        <v>0</v>
      </c>
      <c r="G54" s="102" t="str">
        <f t="shared" si="5"/>
        <v/>
      </c>
      <c r="H54" s="120"/>
      <c r="I54" s="120"/>
      <c r="J54" s="102" t="str">
        <f t="shared" si="6"/>
        <v/>
      </c>
      <c r="K54" s="108" t="str">
        <f t="shared" si="7"/>
        <v/>
      </c>
      <c r="L54" s="154"/>
    </row>
    <row r="55" spans="2:12" s="1" customFormat="1" ht="18" customHeight="1" x14ac:dyDescent="0.2">
      <c r="B55" s="156" t="s">
        <v>94</v>
      </c>
      <c r="C55" s="120"/>
      <c r="D55" s="120"/>
      <c r="E55" s="102" t="str">
        <f t="shared" si="4"/>
        <v/>
      </c>
      <c r="F55" s="155">
        <f t="shared" si="8"/>
        <v>0</v>
      </c>
      <c r="G55" s="102" t="str">
        <f t="shared" si="5"/>
        <v/>
      </c>
      <c r="H55" s="120"/>
      <c r="I55" s="120"/>
      <c r="J55" s="102" t="str">
        <f t="shared" si="6"/>
        <v/>
      </c>
      <c r="K55" s="108" t="str">
        <f t="shared" si="7"/>
        <v/>
      </c>
      <c r="L55" s="154"/>
    </row>
    <row r="56" spans="2:12" s="1" customFormat="1" ht="18" customHeight="1" x14ac:dyDescent="0.2">
      <c r="B56" s="156" t="s">
        <v>95</v>
      </c>
      <c r="C56" s="120"/>
      <c r="D56" s="120"/>
      <c r="E56" s="102" t="str">
        <f t="shared" si="4"/>
        <v/>
      </c>
      <c r="F56" s="155">
        <f t="shared" si="8"/>
        <v>0</v>
      </c>
      <c r="G56" s="102" t="str">
        <f t="shared" si="5"/>
        <v/>
      </c>
      <c r="H56" s="120"/>
      <c r="I56" s="120"/>
      <c r="J56" s="102" t="str">
        <f t="shared" si="6"/>
        <v/>
      </c>
      <c r="K56" s="108" t="str">
        <f t="shared" si="7"/>
        <v/>
      </c>
      <c r="L56" s="154"/>
    </row>
    <row r="57" spans="2:12" s="1" customFormat="1" ht="18" customHeight="1" x14ac:dyDescent="0.2">
      <c r="B57" s="113" t="s">
        <v>315</v>
      </c>
      <c r="C57" s="140"/>
      <c r="D57" s="109">
        <f>SUMIF($C$35:$C$56,"Grid Electricity",D35:D56)*3.6+SUMIF($C$35:$C$56,"&lt;&gt;Grid Electricity",D35:D56)</f>
        <v>0</v>
      </c>
      <c r="E57" s="153">
        <f>SUM(E35:E56)</f>
        <v>0</v>
      </c>
      <c r="F57" s="109">
        <f>SUMIF($C$35:$C$56,"Grid Electricity",F35:F56)*3.6+SUMIF($C$35:$C$56,"&lt;&gt;Grid Electricity",F35:F56)</f>
        <v>0</v>
      </c>
      <c r="G57" s="109">
        <f>SUM(G35:G56)</f>
        <v>0</v>
      </c>
      <c r="H57" s="148"/>
      <c r="I57" s="109">
        <f>SUMIF($C$35:$C$56,"Grid Electricity",I35:I56)*3.6+SUMIF($C$35:$C$56,"&lt;&gt;Grid Electricity",I35:I56)</f>
        <v>0</v>
      </c>
      <c r="J57" s="109">
        <f>SUM(J35:J56)</f>
        <v>0</v>
      </c>
      <c r="K57" s="146"/>
    </row>
    <row r="58" spans="2:12" s="1" customFormat="1" x14ac:dyDescent="0.2">
      <c r="B58" s="114"/>
    </row>
    <row r="59" spans="2:12" s="1" customFormat="1" ht="18" customHeight="1" x14ac:dyDescent="0.2">
      <c r="B59" s="58" t="s">
        <v>80</v>
      </c>
      <c r="C59" s="58"/>
      <c r="D59" s="58"/>
      <c r="E59" s="58"/>
      <c r="F59" s="58"/>
      <c r="G59" s="58"/>
      <c r="H59" s="58"/>
      <c r="I59" s="58"/>
      <c r="J59" s="58"/>
      <c r="K59" s="58"/>
      <c r="L59" s="58"/>
    </row>
    <row r="60" spans="2:12" s="1" customFormat="1" ht="18" customHeight="1" x14ac:dyDescent="0.2">
      <c r="B60" s="115" t="s">
        <v>64</v>
      </c>
      <c r="C60" s="102"/>
      <c r="D60" s="120"/>
      <c r="E60" s="120"/>
      <c r="F60" s="120"/>
      <c r="G60" s="120"/>
      <c r="H60" s="120"/>
      <c r="I60" s="120"/>
      <c r="J60" s="102" t="str">
        <f>IFERROR(VLOOKUP(H60,$B$15:$C$25,2,FALSE)*I60,"")</f>
        <v/>
      </c>
      <c r="K60" s="102"/>
      <c r="L60" s="116"/>
    </row>
    <row r="61" spans="2:12" s="1" customFormat="1" ht="18" customHeight="1" x14ac:dyDescent="0.2">
      <c r="B61" s="115" t="s">
        <v>81</v>
      </c>
      <c r="C61" s="102"/>
      <c r="D61" s="120"/>
      <c r="E61" s="120"/>
      <c r="F61" s="120"/>
      <c r="G61" s="120"/>
      <c r="H61" s="120"/>
      <c r="I61" s="120"/>
      <c r="J61" s="102" t="str">
        <f>IFERROR(VLOOKUP(H61,$B$15:$C$25,2,FALSE)*I61,"")</f>
        <v/>
      </c>
      <c r="K61" s="102"/>
      <c r="L61" s="116"/>
    </row>
    <row r="62" spans="2:12" s="1" customFormat="1" ht="18" customHeight="1" x14ac:dyDescent="0.2">
      <c r="B62" s="58" t="s">
        <v>82</v>
      </c>
      <c r="C62" s="58"/>
      <c r="D62" s="58"/>
      <c r="E62" s="58"/>
      <c r="F62" s="58"/>
      <c r="G62" s="58"/>
      <c r="H62" s="58"/>
      <c r="I62" s="58"/>
      <c r="J62" s="58"/>
      <c r="K62" s="58"/>
      <c r="L62" s="58"/>
    </row>
    <row r="63" spans="2:12" s="1" customFormat="1" ht="18" customHeight="1" x14ac:dyDescent="0.2">
      <c r="B63" s="115" t="s">
        <v>83</v>
      </c>
      <c r="C63" s="102"/>
      <c r="D63" s="120"/>
      <c r="E63" s="120"/>
      <c r="F63" s="120"/>
      <c r="G63" s="120"/>
      <c r="H63" s="120"/>
      <c r="I63" s="120"/>
      <c r="J63" s="102" t="str">
        <f>IFERROR(VLOOKUP(H63,$B$15:$C$25,2,FALSE)*I63,"")</f>
        <v/>
      </c>
      <c r="K63" s="102"/>
      <c r="L63" s="116"/>
    </row>
    <row r="64" spans="2:12" s="1" customFormat="1" ht="18" customHeight="1" x14ac:dyDescent="0.2">
      <c r="B64" s="115" t="s">
        <v>84</v>
      </c>
      <c r="C64" s="102"/>
      <c r="D64" s="120"/>
      <c r="E64" s="120"/>
      <c r="F64" s="120"/>
      <c r="G64" s="120"/>
      <c r="H64" s="120"/>
      <c r="I64" s="120"/>
      <c r="J64" s="102" t="str">
        <f>IFERROR(VLOOKUP(H64,$B$15:$C$25,2,FALSE)*I64,"")</f>
        <v/>
      </c>
      <c r="K64" s="102"/>
      <c r="L64" s="116"/>
    </row>
    <row r="65" spans="2:12" s="1" customFormat="1" ht="18" customHeight="1" x14ac:dyDescent="0.2">
      <c r="B65" s="58" t="s">
        <v>88</v>
      </c>
      <c r="C65" s="58"/>
      <c r="D65" s="58"/>
      <c r="E65" s="58"/>
      <c r="F65" s="58"/>
      <c r="G65" s="58"/>
      <c r="H65" s="58"/>
      <c r="I65" s="58"/>
      <c r="J65" s="58"/>
      <c r="K65" s="58"/>
      <c r="L65" s="58"/>
    </row>
    <row r="66" spans="2:12" s="1" customFormat="1" ht="18" customHeight="1" x14ac:dyDescent="0.2">
      <c r="B66" s="115" t="s">
        <v>89</v>
      </c>
      <c r="C66" s="102"/>
      <c r="D66" s="120"/>
      <c r="E66" s="120"/>
      <c r="F66" s="120"/>
      <c r="G66" s="120"/>
      <c r="H66" s="120"/>
      <c r="I66" s="120"/>
      <c r="J66" s="102" t="str">
        <f>IFERROR(VLOOKUP(H66,$B$15:$C$25,2,FALSE)*I66,"")</f>
        <v/>
      </c>
      <c r="K66" s="102"/>
      <c r="L66" s="116"/>
    </row>
    <row r="67" spans="2:12" s="1" customFormat="1" ht="18" customHeight="1" x14ac:dyDescent="0.2">
      <c r="B67" s="114"/>
      <c r="C67" s="165"/>
      <c r="D67" s="165"/>
      <c r="E67" s="165"/>
      <c r="F67" s="165"/>
      <c r="G67" s="165"/>
      <c r="H67" s="165"/>
      <c r="I67" s="165"/>
      <c r="J67" s="165"/>
      <c r="K67" s="165"/>
      <c r="L67" s="117"/>
    </row>
    <row r="68" spans="2:12" s="1" customFormat="1" ht="22.5" customHeight="1" x14ac:dyDescent="0.2">
      <c r="B68" s="185" t="s">
        <v>332</v>
      </c>
      <c r="C68" s="169"/>
      <c r="D68" s="190" t="s">
        <v>85</v>
      </c>
      <c r="E68" s="191"/>
      <c r="F68" s="190" t="s">
        <v>111</v>
      </c>
      <c r="G68" s="191"/>
      <c r="H68" s="169"/>
      <c r="I68" s="190" t="s">
        <v>314</v>
      </c>
      <c r="J68" s="192"/>
      <c r="K68" s="191"/>
      <c r="L68" s="117"/>
    </row>
    <row r="69" spans="2:12" s="1" customFormat="1" ht="25.5" customHeight="1" x14ac:dyDescent="0.2">
      <c r="B69" s="185"/>
      <c r="C69" s="173"/>
      <c r="D69" s="202" t="s">
        <v>339</v>
      </c>
      <c r="E69" s="174" t="s">
        <v>79</v>
      </c>
      <c r="F69" s="202" t="s">
        <v>339</v>
      </c>
      <c r="G69" s="174" t="s">
        <v>79</v>
      </c>
      <c r="H69" s="173"/>
      <c r="I69" s="202" t="s">
        <v>339</v>
      </c>
      <c r="J69" s="173" t="s">
        <v>79</v>
      </c>
      <c r="K69" s="181" t="s">
        <v>337</v>
      </c>
      <c r="L69" s="117"/>
    </row>
    <row r="70" spans="2:12" s="1" customFormat="1" ht="15" customHeight="1" x14ac:dyDescent="0.2">
      <c r="B70" s="172" t="s">
        <v>103</v>
      </c>
      <c r="C70" s="117"/>
      <c r="D70" s="175">
        <f t="shared" ref="D70:G80" si="9">SUMIF($C$35:$C$56,$B70,D$35:D$56)+SUMIF($C$60:$C$66,$B70,D$60:D$66)</f>
        <v>0</v>
      </c>
      <c r="E70" s="176">
        <f t="shared" si="9"/>
        <v>0</v>
      </c>
      <c r="F70" s="175">
        <f t="shared" si="9"/>
        <v>0</v>
      </c>
      <c r="G70" s="176">
        <f t="shared" si="9"/>
        <v>0</v>
      </c>
      <c r="H70" s="166"/>
      <c r="I70" s="175">
        <f t="shared" ref="I70:J80" si="10">SUMIF($H$35:$H$56,$B70,I$35:I$56)+SUMIF($H$60:$H$66,$B70,I$60:I$66)</f>
        <v>0</v>
      </c>
      <c r="J70" s="49">
        <f t="shared" si="10"/>
        <v>0</v>
      </c>
      <c r="K70" s="176">
        <f t="shared" ref="K70:K76" si="11">I70*C15</f>
        <v>0</v>
      </c>
      <c r="L70" s="166"/>
    </row>
    <row r="71" spans="2:12" s="1" customFormat="1" ht="15" customHeight="1" x14ac:dyDescent="0.2">
      <c r="B71" s="111" t="s">
        <v>87</v>
      </c>
      <c r="C71" s="117"/>
      <c r="D71" s="177">
        <f t="shared" si="9"/>
        <v>0</v>
      </c>
      <c r="E71" s="178">
        <f t="shared" si="9"/>
        <v>0</v>
      </c>
      <c r="F71" s="177">
        <f t="shared" si="9"/>
        <v>0</v>
      </c>
      <c r="G71" s="178">
        <f t="shared" si="9"/>
        <v>0</v>
      </c>
      <c r="H71" s="166"/>
      <c r="I71" s="177">
        <f t="shared" si="10"/>
        <v>0</v>
      </c>
      <c r="J71" s="50">
        <f t="shared" si="10"/>
        <v>0</v>
      </c>
      <c r="K71" s="178">
        <f t="shared" si="11"/>
        <v>0</v>
      </c>
      <c r="L71" s="166"/>
    </row>
    <row r="72" spans="2:12" s="1" customFormat="1" ht="15" customHeight="1" x14ac:dyDescent="0.2">
      <c r="B72" s="111" t="s">
        <v>96</v>
      </c>
      <c r="C72" s="117"/>
      <c r="D72" s="177">
        <f t="shared" si="9"/>
        <v>0</v>
      </c>
      <c r="E72" s="178">
        <f t="shared" si="9"/>
        <v>0</v>
      </c>
      <c r="F72" s="177">
        <f t="shared" si="9"/>
        <v>0</v>
      </c>
      <c r="G72" s="178">
        <f t="shared" si="9"/>
        <v>0</v>
      </c>
      <c r="H72" s="166"/>
      <c r="I72" s="177">
        <f t="shared" si="10"/>
        <v>0</v>
      </c>
      <c r="J72" s="50">
        <f t="shared" si="10"/>
        <v>0</v>
      </c>
      <c r="K72" s="178">
        <f t="shared" si="11"/>
        <v>0</v>
      </c>
      <c r="L72" s="166"/>
    </row>
    <row r="73" spans="2:12" s="1" customFormat="1" ht="15" customHeight="1" x14ac:dyDescent="0.2">
      <c r="B73" s="111" t="s">
        <v>97</v>
      </c>
      <c r="C73" s="117"/>
      <c r="D73" s="177">
        <f t="shared" si="9"/>
        <v>0</v>
      </c>
      <c r="E73" s="178">
        <f t="shared" si="9"/>
        <v>0</v>
      </c>
      <c r="F73" s="177">
        <f t="shared" si="9"/>
        <v>0</v>
      </c>
      <c r="G73" s="178">
        <f t="shared" si="9"/>
        <v>0</v>
      </c>
      <c r="H73" s="166"/>
      <c r="I73" s="177">
        <f t="shared" si="10"/>
        <v>0</v>
      </c>
      <c r="J73" s="50">
        <f t="shared" si="10"/>
        <v>0</v>
      </c>
      <c r="K73" s="178">
        <f t="shared" si="11"/>
        <v>0</v>
      </c>
      <c r="L73" s="166"/>
    </row>
    <row r="74" spans="2:12" s="1" customFormat="1" ht="15" customHeight="1" x14ac:dyDescent="0.2">
      <c r="B74" s="111" t="s">
        <v>98</v>
      </c>
      <c r="C74" s="117"/>
      <c r="D74" s="177">
        <f t="shared" si="9"/>
        <v>0</v>
      </c>
      <c r="E74" s="178">
        <f t="shared" si="9"/>
        <v>0</v>
      </c>
      <c r="F74" s="177">
        <f t="shared" si="9"/>
        <v>0</v>
      </c>
      <c r="G74" s="178">
        <f t="shared" si="9"/>
        <v>0</v>
      </c>
      <c r="H74" s="166"/>
      <c r="I74" s="177">
        <f t="shared" si="10"/>
        <v>0</v>
      </c>
      <c r="J74" s="50">
        <f t="shared" si="10"/>
        <v>0</v>
      </c>
      <c r="K74" s="178">
        <f t="shared" si="11"/>
        <v>0</v>
      </c>
      <c r="L74" s="166"/>
    </row>
    <row r="75" spans="2:12" s="1" customFormat="1" ht="15" customHeight="1" x14ac:dyDescent="0.2">
      <c r="B75" s="111" t="s">
        <v>99</v>
      </c>
      <c r="C75" s="117"/>
      <c r="D75" s="177">
        <f t="shared" si="9"/>
        <v>0</v>
      </c>
      <c r="E75" s="178">
        <f t="shared" si="9"/>
        <v>0</v>
      </c>
      <c r="F75" s="177">
        <f t="shared" si="9"/>
        <v>0</v>
      </c>
      <c r="G75" s="178">
        <f t="shared" si="9"/>
        <v>0</v>
      </c>
      <c r="H75" s="166"/>
      <c r="I75" s="177">
        <f t="shared" si="10"/>
        <v>0</v>
      </c>
      <c r="J75" s="50">
        <f t="shared" si="10"/>
        <v>0</v>
      </c>
      <c r="K75" s="178">
        <f t="shared" si="11"/>
        <v>0</v>
      </c>
      <c r="L75" s="166"/>
    </row>
    <row r="76" spans="2:12" s="1" customFormat="1" ht="15" customHeight="1" x14ac:dyDescent="0.2">
      <c r="B76" s="111" t="s">
        <v>100</v>
      </c>
      <c r="C76" s="117"/>
      <c r="D76" s="177">
        <f t="shared" si="9"/>
        <v>0</v>
      </c>
      <c r="E76" s="178">
        <f t="shared" si="9"/>
        <v>0</v>
      </c>
      <c r="F76" s="177">
        <f t="shared" si="9"/>
        <v>0</v>
      </c>
      <c r="G76" s="178">
        <f t="shared" si="9"/>
        <v>0</v>
      </c>
      <c r="H76" s="166"/>
      <c r="I76" s="177">
        <f t="shared" si="10"/>
        <v>0</v>
      </c>
      <c r="J76" s="50">
        <f t="shared" si="10"/>
        <v>0</v>
      </c>
      <c r="K76" s="178">
        <f t="shared" si="11"/>
        <v>0</v>
      </c>
      <c r="L76" s="166"/>
    </row>
    <row r="77" spans="2:12" s="1" customFormat="1" ht="15" customHeight="1" x14ac:dyDescent="0.2">
      <c r="B77" s="111" t="s">
        <v>101</v>
      </c>
      <c r="C77" s="117"/>
      <c r="D77" s="177">
        <f t="shared" si="9"/>
        <v>0</v>
      </c>
      <c r="E77" s="178">
        <f t="shared" si="9"/>
        <v>0</v>
      </c>
      <c r="F77" s="177">
        <f t="shared" si="9"/>
        <v>0</v>
      </c>
      <c r="G77" s="178">
        <f t="shared" si="9"/>
        <v>0</v>
      </c>
      <c r="H77" s="166"/>
      <c r="I77" s="177">
        <f t="shared" si="10"/>
        <v>0</v>
      </c>
      <c r="J77" s="50">
        <f t="shared" si="10"/>
        <v>0</v>
      </c>
      <c r="K77" s="178">
        <f>I77*P29</f>
        <v>0</v>
      </c>
      <c r="L77" s="166"/>
    </row>
    <row r="78" spans="2:12" s="1" customFormat="1" ht="15" customHeight="1" x14ac:dyDescent="0.2">
      <c r="B78" s="111" t="s">
        <v>102</v>
      </c>
      <c r="C78" s="117"/>
      <c r="D78" s="177">
        <f t="shared" si="9"/>
        <v>0</v>
      </c>
      <c r="E78" s="178">
        <f t="shared" si="9"/>
        <v>0</v>
      </c>
      <c r="F78" s="177">
        <f t="shared" si="9"/>
        <v>0</v>
      </c>
      <c r="G78" s="178">
        <f t="shared" si="9"/>
        <v>0</v>
      </c>
      <c r="H78" s="166"/>
      <c r="I78" s="177">
        <f t="shared" si="10"/>
        <v>0</v>
      </c>
      <c r="J78" s="50">
        <f t="shared" si="10"/>
        <v>0</v>
      </c>
      <c r="K78" s="178">
        <f>I78*P30</f>
        <v>0</v>
      </c>
      <c r="L78" s="166"/>
    </row>
    <row r="79" spans="2:12" s="1" customFormat="1" ht="15" customHeight="1" x14ac:dyDescent="0.2">
      <c r="B79" s="111" t="s">
        <v>220</v>
      </c>
      <c r="C79" s="117"/>
      <c r="D79" s="177">
        <f t="shared" si="9"/>
        <v>0</v>
      </c>
      <c r="E79" s="178">
        <f t="shared" si="9"/>
        <v>0</v>
      </c>
      <c r="F79" s="177">
        <f t="shared" si="9"/>
        <v>0</v>
      </c>
      <c r="G79" s="178">
        <f t="shared" si="9"/>
        <v>0</v>
      </c>
      <c r="H79" s="166"/>
      <c r="I79" s="177">
        <f t="shared" si="10"/>
        <v>0</v>
      </c>
      <c r="J79" s="50">
        <f t="shared" si="10"/>
        <v>0</v>
      </c>
      <c r="K79" s="178">
        <f>I79*P31</f>
        <v>0</v>
      </c>
      <c r="L79" s="166"/>
    </row>
    <row r="80" spans="2:12" s="1" customFormat="1" x14ac:dyDescent="0.2">
      <c r="B80" s="170" t="s">
        <v>333</v>
      </c>
      <c r="C80" s="171"/>
      <c r="D80" s="179">
        <f t="shared" si="9"/>
        <v>0</v>
      </c>
      <c r="E80" s="180">
        <f t="shared" si="9"/>
        <v>0</v>
      </c>
      <c r="F80" s="179">
        <f t="shared" si="9"/>
        <v>0</v>
      </c>
      <c r="G80" s="180">
        <f t="shared" si="9"/>
        <v>0</v>
      </c>
      <c r="H80" s="167"/>
      <c r="I80" s="179">
        <f t="shared" si="10"/>
        <v>0</v>
      </c>
      <c r="J80" s="51">
        <f t="shared" si="10"/>
        <v>0</v>
      </c>
      <c r="K80" s="180">
        <f>I80*P32</f>
        <v>0</v>
      </c>
      <c r="L80" s="166"/>
    </row>
    <row r="81" spans="2:17" s="1" customFormat="1" ht="15" customHeight="1" thickBot="1" x14ac:dyDescent="0.25">
      <c r="B81" s="87" t="s">
        <v>52</v>
      </c>
      <c r="C81" s="87"/>
      <c r="D81" s="87"/>
      <c r="E81" s="87"/>
      <c r="F81" s="87"/>
      <c r="G81" s="87"/>
      <c r="H81" s="87"/>
      <c r="I81" s="70">
        <f>SUM(I70:I80)</f>
        <v>0</v>
      </c>
      <c r="J81" s="70">
        <f>SUM(J70:J80)</f>
        <v>0</v>
      </c>
      <c r="K81" s="70">
        <f>SUM(K70:K80)</f>
        <v>0</v>
      </c>
      <c r="L81" s="168"/>
    </row>
    <row r="82" spans="2:17" s="1" customFormat="1" ht="15" customHeight="1" thickTop="1" thickBot="1" x14ac:dyDescent="0.25">
      <c r="B82" s="87" t="s">
        <v>110</v>
      </c>
      <c r="C82" s="87"/>
      <c r="D82" s="87"/>
      <c r="E82" s="87"/>
      <c r="F82" s="87"/>
      <c r="G82" s="87"/>
      <c r="H82" s="87"/>
      <c r="I82" s="70">
        <f>SUM(I60:I61)</f>
        <v>0</v>
      </c>
      <c r="J82" s="70">
        <f>SUM(J60:J61)</f>
        <v>0</v>
      </c>
      <c r="K82" s="70"/>
      <c r="L82" s="168"/>
    </row>
    <row r="83" spans="2:17" s="1" customFormat="1" ht="13.5" thickTop="1" x14ac:dyDescent="0.2">
      <c r="B83" s="15"/>
      <c r="D83" s="6"/>
      <c r="E83" s="6"/>
      <c r="F83" s="6"/>
      <c r="G83" s="6"/>
      <c r="H83" s="6"/>
      <c r="I83" s="6"/>
      <c r="J83" s="6"/>
      <c r="K83" s="6"/>
      <c r="L83" s="117"/>
    </row>
    <row r="84" spans="2:17" s="1" customFormat="1" ht="22.5" customHeight="1" x14ac:dyDescent="0.2">
      <c r="B84" s="161" t="s">
        <v>325</v>
      </c>
      <c r="C84" s="189" t="s">
        <v>326</v>
      </c>
      <c r="D84" s="189"/>
      <c r="E84" s="161"/>
      <c r="F84" s="161"/>
      <c r="G84" s="161"/>
      <c r="H84" s="189" t="s">
        <v>327</v>
      </c>
      <c r="I84" s="189"/>
      <c r="J84" s="161"/>
      <c r="K84" s="162" t="s">
        <v>105</v>
      </c>
      <c r="L84" s="162" t="s">
        <v>214</v>
      </c>
    </row>
    <row r="85" spans="2:17" s="10" customFormat="1" ht="18" customHeight="1" x14ac:dyDescent="0.2">
      <c r="B85" s="112" t="s">
        <v>215</v>
      </c>
      <c r="C85" s="119" t="s">
        <v>103</v>
      </c>
      <c r="D85" s="120"/>
      <c r="H85" s="119" t="s">
        <v>103</v>
      </c>
      <c r="I85" s="120"/>
      <c r="K85" s="163" t="str">
        <f>IFERROR((D85-I85)/D85,"")</f>
        <v/>
      </c>
      <c r="L85" s="164"/>
    </row>
    <row r="86" spans="2:17" s="10" customFormat="1" x14ac:dyDescent="0.2">
      <c r="B86" s="118"/>
    </row>
    <row r="87" spans="2:17" s="10" customFormat="1" x14ac:dyDescent="0.2">
      <c r="B87" s="118"/>
    </row>
    <row r="88" spans="2:17" s="10" customFormat="1" ht="18" customHeight="1" x14ac:dyDescent="0.2">
      <c r="B88" s="58" t="s">
        <v>316</v>
      </c>
      <c r="C88" s="58"/>
      <c r="D88" s="58"/>
    </row>
    <row r="89" spans="2:17" s="1" customFormat="1" ht="18" customHeight="1" x14ac:dyDescent="0.2">
      <c r="B89" s="58" t="s">
        <v>317</v>
      </c>
      <c r="C89" s="58"/>
      <c r="D89" s="58"/>
      <c r="E89" s="6"/>
      <c r="F89" s="6"/>
      <c r="G89" s="6"/>
      <c r="H89" s="6"/>
      <c r="I89" s="6"/>
      <c r="J89" s="6"/>
      <c r="K89" s="6"/>
    </row>
    <row r="90" spans="2:17" s="1" customFormat="1" ht="18" customHeight="1" x14ac:dyDescent="0.2">
      <c r="B90" s="121" t="s">
        <v>226</v>
      </c>
      <c r="C90" s="122">
        <f>D57</f>
        <v>0</v>
      </c>
      <c r="D90" s="121" t="s">
        <v>216</v>
      </c>
      <c r="H90" s="6"/>
      <c r="I90" s="6"/>
      <c r="J90" s="6"/>
      <c r="K90" s="6"/>
      <c r="O90" s="6"/>
      <c r="P90" s="6"/>
      <c r="Q90" s="6"/>
    </row>
    <row r="91" spans="2:17" s="1" customFormat="1" ht="18" customHeight="1" x14ac:dyDescent="0.2">
      <c r="B91" s="121" t="s">
        <v>112</v>
      </c>
      <c r="C91" s="122">
        <f>F57</f>
        <v>0</v>
      </c>
      <c r="D91" s="121" t="s">
        <v>216</v>
      </c>
      <c r="H91" s="6"/>
      <c r="I91" s="6"/>
      <c r="J91" s="6"/>
      <c r="K91" s="10"/>
      <c r="O91" s="6"/>
      <c r="P91" s="6"/>
      <c r="Q91" s="6"/>
    </row>
    <row r="92" spans="2:17" s="1" customFormat="1" ht="18" customHeight="1" x14ac:dyDescent="0.2">
      <c r="B92" s="121" t="s">
        <v>105</v>
      </c>
      <c r="C92" s="141" t="str">
        <f>IFERROR((C90-C91)/C90,"")</f>
        <v/>
      </c>
      <c r="D92" s="6"/>
      <c r="H92" s="6"/>
      <c r="I92" s="6"/>
      <c r="J92" s="6"/>
      <c r="K92" s="6"/>
      <c r="O92" s="6"/>
      <c r="P92" s="6"/>
      <c r="Q92" s="6"/>
    </row>
    <row r="93" spans="2:17" s="1" customFormat="1" ht="18" customHeight="1" x14ac:dyDescent="0.2">
      <c r="B93" s="157" t="s">
        <v>323</v>
      </c>
      <c r="C93" s="158" t="str">
        <f>IFERROR(MIN(C92/Q93*O93,O93),"")</f>
        <v/>
      </c>
      <c r="O93" s="1">
        <f>$C$109*P93</f>
        <v>4</v>
      </c>
      <c r="P93" s="59">
        <v>0.2</v>
      </c>
      <c r="Q93" s="59">
        <v>0.25</v>
      </c>
    </row>
    <row r="94" spans="2:17" s="1" customFormat="1" ht="18" customHeight="1" x14ac:dyDescent="0.2">
      <c r="B94" s="11"/>
      <c r="C94" s="110"/>
    </row>
    <row r="95" spans="2:17" s="1" customFormat="1" ht="18" customHeight="1" x14ac:dyDescent="0.2">
      <c r="B95" s="58" t="s">
        <v>318</v>
      </c>
      <c r="C95" s="58"/>
      <c r="D95" s="58"/>
    </row>
    <row r="96" spans="2:17" s="1" customFormat="1" ht="18" customHeight="1" x14ac:dyDescent="0.2">
      <c r="B96" s="121" t="s">
        <v>106</v>
      </c>
      <c r="C96" s="122">
        <f>0.9*E57</f>
        <v>0</v>
      </c>
      <c r="D96" s="121" t="s">
        <v>107</v>
      </c>
    </row>
    <row r="97" spans="2:17" s="1" customFormat="1" ht="29.25" customHeight="1" x14ac:dyDescent="0.2">
      <c r="B97" s="121" t="s">
        <v>330</v>
      </c>
      <c r="C97" s="122">
        <f>K81</f>
        <v>0</v>
      </c>
      <c r="D97" s="121" t="s">
        <v>107</v>
      </c>
    </row>
    <row r="98" spans="2:17" s="1" customFormat="1" ht="18" customHeight="1" x14ac:dyDescent="0.2">
      <c r="B98" s="121" t="s">
        <v>331</v>
      </c>
      <c r="C98" s="122">
        <f>J81</f>
        <v>0</v>
      </c>
      <c r="D98" s="121" t="s">
        <v>107</v>
      </c>
    </row>
    <row r="99" spans="2:17" s="1" customFormat="1" ht="18" customHeight="1" x14ac:dyDescent="0.2">
      <c r="B99" s="11"/>
      <c r="C99" s="110"/>
    </row>
    <row r="100" spans="2:17" s="1" customFormat="1" ht="18" customHeight="1" x14ac:dyDescent="0.2">
      <c r="B100" s="121" t="s">
        <v>254</v>
      </c>
      <c r="C100" s="122" t="str">
        <f>IF(C98&lt;=C96,"PASS","FAIL")</f>
        <v>PASS</v>
      </c>
    </row>
    <row r="101" spans="2:17" s="1" customFormat="1" ht="18" customHeight="1" x14ac:dyDescent="0.2">
      <c r="B101" s="121" t="s">
        <v>105</v>
      </c>
      <c r="C101" s="141" t="str">
        <f>IFERROR((C96-C98)/C96,"")</f>
        <v/>
      </c>
      <c r="D101" s="6"/>
    </row>
    <row r="102" spans="2:17" s="1" customFormat="1" ht="18" customHeight="1" x14ac:dyDescent="0.2">
      <c r="B102" s="121" t="s">
        <v>245</v>
      </c>
      <c r="C102" s="142" t="str">
        <f>IFERROR(MIN((C96-C97)/C96/Q103,Q103)*O103,"")</f>
        <v/>
      </c>
      <c r="D102" s="6"/>
    </row>
    <row r="103" spans="2:17" s="1" customFormat="1" ht="18" customHeight="1" x14ac:dyDescent="0.2">
      <c r="B103" s="157" t="s">
        <v>324</v>
      </c>
      <c r="C103" s="159" t="str">
        <f>IFERROR(MIN(MIN(C101/Q103*O103,2*C102),O103),"")</f>
        <v/>
      </c>
      <c r="O103" s="1">
        <f>$C$109*P103</f>
        <v>16</v>
      </c>
      <c r="P103" s="59">
        <f>1-P93</f>
        <v>0.8</v>
      </c>
      <c r="Q103" s="59">
        <v>1</v>
      </c>
    </row>
    <row r="104" spans="2:17" s="1" customFormat="1" ht="18" customHeight="1" x14ac:dyDescent="0.2">
      <c r="B104" s="11"/>
      <c r="C104" s="110"/>
    </row>
    <row r="105" spans="2:17" s="1" customFormat="1" ht="34.5" customHeight="1" x14ac:dyDescent="0.2">
      <c r="B105" s="121" t="s">
        <v>322</v>
      </c>
      <c r="C105" s="122" t="str">
        <f>IFERROR((-1*J82)/J57,"")</f>
        <v/>
      </c>
    </row>
    <row r="106" spans="2:17" s="1" customFormat="1" ht="18" customHeight="1" x14ac:dyDescent="0.2">
      <c r="B106" s="121" t="s">
        <v>248</v>
      </c>
      <c r="C106" s="122" t="str">
        <f>IFERROR(MIN(C105/Q106,1)*O106,"")</f>
        <v/>
      </c>
      <c r="O106" s="1">
        <v>2</v>
      </c>
      <c r="P106" s="59">
        <v>0.1</v>
      </c>
      <c r="Q106" s="59">
        <v>0.2</v>
      </c>
    </row>
    <row r="107" spans="2:17" s="1" customFormat="1" ht="18" customHeight="1" x14ac:dyDescent="0.2">
      <c r="B107" s="11"/>
      <c r="C107" s="105"/>
      <c r="P107" s="59"/>
      <c r="Q107" s="59"/>
    </row>
    <row r="108" spans="2:17" s="1" customFormat="1" ht="18" customHeight="1" x14ac:dyDescent="0.2">
      <c r="B108" s="145" t="s">
        <v>319</v>
      </c>
      <c r="C108" s="143">
        <f>IF(C100="FAIL",0,MIN(SUM(C93,C103,C106),C109))</f>
        <v>0</v>
      </c>
    </row>
    <row r="109" spans="2:17" s="1" customFormat="1" ht="18" customHeight="1" x14ac:dyDescent="0.2">
      <c r="B109" s="145" t="s">
        <v>320</v>
      </c>
      <c r="C109" s="143">
        <v>20</v>
      </c>
    </row>
    <row r="110" spans="2:17" s="1" customFormat="1" ht="18" customHeight="1" x14ac:dyDescent="0.2">
      <c r="B110" s="123"/>
      <c r="C110" s="84"/>
    </row>
    <row r="111" spans="2:17" s="1" customFormat="1" x14ac:dyDescent="0.2">
      <c r="B111" s="15"/>
      <c r="C111" s="106"/>
    </row>
    <row r="112" spans="2:17" s="41" customFormat="1" ht="26.25" x14ac:dyDescent="0.2">
      <c r="B112" s="54" t="s">
        <v>291</v>
      </c>
      <c r="C112" s="54"/>
      <c r="D112" s="54"/>
    </row>
    <row r="113" spans="2:17" s="35" customFormat="1" ht="18" customHeight="1" x14ac:dyDescent="0.25">
      <c r="B113" s="53" t="s">
        <v>321</v>
      </c>
      <c r="C113" s="53"/>
      <c r="D113" s="36"/>
      <c r="E113" s="36"/>
      <c r="F113" s="41"/>
    </row>
    <row r="114" spans="2:17" s="1" customFormat="1" ht="18" customHeight="1" x14ac:dyDescent="0.2">
      <c r="B114" s="15"/>
      <c r="P114" s="1" t="s">
        <v>134</v>
      </c>
      <c r="Q114" s="1" t="s">
        <v>133</v>
      </c>
    </row>
    <row r="115" spans="2:17" s="1" customFormat="1" ht="18" customHeight="1" x14ac:dyDescent="0.2">
      <c r="B115" s="121" t="s">
        <v>328</v>
      </c>
      <c r="C115" s="141" t="str">
        <f>K85</f>
        <v/>
      </c>
      <c r="O115" s="107">
        <f>C118</f>
        <v>2</v>
      </c>
      <c r="P115" s="59">
        <v>0.1</v>
      </c>
      <c r="Q115" s="59">
        <v>0.3</v>
      </c>
    </row>
    <row r="116" spans="2:17" s="1" customFormat="1" ht="18" customHeight="1" x14ac:dyDescent="0.2">
      <c r="B116" s="11"/>
      <c r="C116" s="1" t="str">
        <f>IFERROR(IF(K86&lt;#REF!,0,MIN(F117*K86+G117,O116)),"")</f>
        <v/>
      </c>
      <c r="O116" s="107"/>
      <c r="P116" s="9">
        <f>C118/(Q115-P115)</f>
        <v>10</v>
      </c>
      <c r="Q116" s="9">
        <f>-1*P115*P116</f>
        <v>-1</v>
      </c>
    </row>
    <row r="117" spans="2:17" s="1" customFormat="1" ht="18" customHeight="1" x14ac:dyDescent="0.2">
      <c r="B117" s="144" t="s">
        <v>319</v>
      </c>
      <c r="C117" s="143">
        <f>IFERROR(IF(C115&lt;P115,0,MIN(P116*C115+Q116,O115)),0)</f>
        <v>0</v>
      </c>
    </row>
    <row r="118" spans="2:17" s="1" customFormat="1" ht="18" customHeight="1" x14ac:dyDescent="0.2">
      <c r="B118" s="144" t="s">
        <v>320</v>
      </c>
      <c r="C118" s="143">
        <v>2</v>
      </c>
    </row>
  </sheetData>
  <sheetProtection password="E6B1" sheet="1" objects="1" scenarios="1"/>
  <mergeCells count="11">
    <mergeCell ref="C84:D84"/>
    <mergeCell ref="H84:I84"/>
    <mergeCell ref="D68:E68"/>
    <mergeCell ref="F68:G68"/>
    <mergeCell ref="I68:K68"/>
    <mergeCell ref="B68:B69"/>
    <mergeCell ref="H32:J32"/>
    <mergeCell ref="C32:E32"/>
    <mergeCell ref="L32:L33"/>
    <mergeCell ref="F32:G32"/>
    <mergeCell ref="K32:K33"/>
  </mergeCells>
  <dataValidations count="12">
    <dataValidation type="decimal" allowBlank="1" showInputMessage="1" showErrorMessage="1" promptTitle="Utility Electricity" prompt="Enter the GHG intensity for electricity delivered from a shared utility service" sqref="C30">
      <formula1>0</formula1>
      <formula2>2</formula2>
    </dataValidation>
    <dataValidation type="decimal" allowBlank="1" showInputMessage="1" showErrorMessage="1" promptTitle="Utility HHW Thermal Energy" prompt="Enter the GHG intensity for HHW delivered from a shared utility service" sqref="C28">
      <formula1>0</formula1>
      <formula2>0.5</formula2>
    </dataValidation>
    <dataValidation type="decimal" allowBlank="1" showInputMessage="1" showErrorMessage="1" promptTitle="Utility CHW Thermal Energy" prompt="Enter the GHG intensity for CHW delivered from a shared utility service" sqref="C27">
      <formula1>0</formula1>
      <formula2>0.5</formula2>
    </dataValidation>
    <dataValidation type="decimal" allowBlank="1" showInputMessage="1" showErrorMessage="1" promptTitle="Utility DHW Thermal Energy" prompt="Enter the GHG intensity for HHW delivered from a shared utility service" sqref="C29">
      <formula1>0</formula1>
      <formula2>0.5</formula2>
    </dataValidation>
    <dataValidation type="list" allowBlank="1" showInputMessage="1" showErrorMessage="1" sqref="F27:F30">
      <formula1>ContractTerm</formula1>
    </dataValidation>
    <dataValidation type="list" allowBlank="1" showInputMessage="1" showErrorMessage="1" sqref="H60:H61 H66:H69 H63:H64 H35:H42 H44:H56 C35:C42 C44:C56">
      <formula1>Fuels</formula1>
    </dataValidation>
    <dataValidation type="decimal" allowBlank="1" showInputMessage="1" showErrorMessage="1" sqref="I60:I61 I64 I66:I67">
      <formula1>-1000000000</formula1>
      <formula2>0</formula2>
    </dataValidation>
    <dataValidation type="decimal" allowBlank="1" showInputMessage="1" showErrorMessage="1" sqref="I63">
      <formula1>0</formula1>
      <formula2>1000000000</formula2>
    </dataValidation>
    <dataValidation type="list" allowBlank="1" showInputMessage="1" showErrorMessage="1" sqref="C12">
      <formula1>Option</formula1>
    </dataValidation>
    <dataValidation type="list" allowBlank="1" showInputMessage="1" showErrorMessage="1" sqref="C11">
      <formula1>GeoLocation</formula1>
    </dataValidation>
    <dataValidation type="textLength" operator="lessThanOrEqual" allowBlank="1" showInputMessage="1" showErrorMessage="1" sqref="L35:L42 L44:L56">
      <formula1>350</formula1>
    </dataValidation>
    <dataValidation type="list" allowBlank="1" showInputMessage="1" showErrorMessage="1" sqref="H27:H29">
      <formula1>BldgCapacity</formula1>
    </dataValidation>
  </dataValidations>
  <pageMargins left="0.7" right="0.7" top="0.75" bottom="0.75" header="0.3" footer="0.3"/>
  <pageSetup paperSize="254" orientation="portrait" r:id="rId1"/>
  <ignoredErrors>
    <ignoredError sqref="E57"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election activeCell="B5" sqref="B5"/>
    </sheetView>
  </sheetViews>
  <sheetFormatPr defaultRowHeight="12.75" x14ac:dyDescent="0.2"/>
  <cols>
    <col min="1" max="1" width="3.140625" customWidth="1"/>
    <col min="2" max="2" width="28.42578125" customWidth="1"/>
    <col min="3" max="3" width="13.42578125" customWidth="1"/>
    <col min="4" max="9" width="13.85546875" customWidth="1"/>
  </cols>
  <sheetData>
    <row r="1" spans="1:13" s="25" customFormat="1" ht="14.25" x14ac:dyDescent="0.2">
      <c r="D1" s="26"/>
    </row>
    <row r="2" spans="1:13" s="25" customFormat="1" ht="103.5" customHeight="1" x14ac:dyDescent="0.35">
      <c r="B2" s="27"/>
      <c r="D2" s="26"/>
    </row>
    <row r="3" spans="1:13" s="25" customFormat="1" ht="72.75" customHeight="1" x14ac:dyDescent="0.35">
      <c r="B3" s="27"/>
      <c r="D3" s="26"/>
    </row>
    <row r="4" spans="1:13" s="25" customFormat="1" ht="9.75" customHeight="1" x14ac:dyDescent="0.35">
      <c r="B4" s="27"/>
      <c r="D4" s="26"/>
    </row>
    <row r="5" spans="1:13" s="25" customFormat="1" ht="14.25" x14ac:dyDescent="0.2">
      <c r="B5" s="28" t="s">
        <v>275</v>
      </c>
      <c r="C5" s="29" t="s">
        <v>276</v>
      </c>
      <c r="D5" s="26"/>
    </row>
    <row r="7" spans="1:13" ht="26.25" x14ac:dyDescent="0.2">
      <c r="B7" s="54" t="s">
        <v>265</v>
      </c>
    </row>
    <row r="9" spans="1:13" ht="18" customHeight="1" x14ac:dyDescent="0.2">
      <c r="A9" s="58">
        <v>1</v>
      </c>
      <c r="B9" s="58" t="s">
        <v>263</v>
      </c>
      <c r="C9" s="58"/>
      <c r="D9" s="58"/>
      <c r="E9" s="58"/>
      <c r="F9" s="58"/>
      <c r="G9" s="58"/>
      <c r="H9" s="58"/>
      <c r="I9" s="58"/>
      <c r="J9" s="58"/>
      <c r="K9" s="58"/>
      <c r="L9" s="58"/>
      <c r="M9" s="58"/>
    </row>
    <row r="10" spans="1:13" ht="18" customHeight="1" x14ac:dyDescent="0.2">
      <c r="A10" s="58">
        <v>2</v>
      </c>
      <c r="B10" s="58" t="s">
        <v>264</v>
      </c>
      <c r="C10" s="58"/>
      <c r="D10" s="58"/>
      <c r="E10" s="58"/>
      <c r="F10" s="58"/>
      <c r="G10" s="58"/>
      <c r="H10" s="58"/>
      <c r="I10" s="58"/>
      <c r="J10" s="58"/>
      <c r="K10" s="58"/>
      <c r="L10" s="58"/>
      <c r="M10" s="58"/>
    </row>
    <row r="12" spans="1:13" x14ac:dyDescent="0.2">
      <c r="C12" s="194" t="s">
        <v>219</v>
      </c>
      <c r="D12" s="193" t="s">
        <v>217</v>
      </c>
      <c r="E12" s="193"/>
      <c r="F12" s="193"/>
      <c r="G12" s="193" t="s">
        <v>218</v>
      </c>
      <c r="H12" s="193"/>
      <c r="I12" s="193"/>
    </row>
    <row r="13" spans="1:13" ht="25.5" x14ac:dyDescent="0.2">
      <c r="C13" s="195"/>
      <c r="D13" s="2" t="s">
        <v>50</v>
      </c>
      <c r="E13" s="2" t="s">
        <v>51</v>
      </c>
      <c r="F13" s="2" t="s">
        <v>53</v>
      </c>
      <c r="G13" s="3" t="s">
        <v>50</v>
      </c>
      <c r="H13" s="3" t="s">
        <v>51</v>
      </c>
      <c r="I13" s="3" t="s">
        <v>53</v>
      </c>
    </row>
    <row r="14" spans="1:13" ht="18" customHeight="1" x14ac:dyDescent="0.2">
      <c r="B14" s="6" t="s">
        <v>250</v>
      </c>
      <c r="C14" s="57">
        <v>1</v>
      </c>
      <c r="D14" s="50">
        <f>'15.A Prescriptive Path'!D39</f>
        <v>5</v>
      </c>
      <c r="E14" s="50">
        <f>'15.A Prescriptive Path'!D38</f>
        <v>0</v>
      </c>
      <c r="F14" s="50">
        <f>IFERROR((C14/$C$18*D14)*(E14/D14),"ERROR")</f>
        <v>0</v>
      </c>
      <c r="G14" s="50">
        <f>'15.A Prescriptive Path'!D51</f>
        <v>1</v>
      </c>
      <c r="H14" s="50">
        <f>'15.A Prescriptive Path'!D50</f>
        <v>0</v>
      </c>
      <c r="I14" s="50">
        <f t="shared" ref="I14:I17" si="0">IFERROR((C14/$C$18*G14)*(H14/G14),"ERROR")</f>
        <v>0</v>
      </c>
    </row>
    <row r="15" spans="1:13" ht="18" customHeight="1" x14ac:dyDescent="0.2">
      <c r="B15" s="6" t="s">
        <v>249</v>
      </c>
      <c r="C15" s="57">
        <v>1</v>
      </c>
      <c r="D15" s="50">
        <f>'15.B NatHERS Path'!D69</f>
        <v>12</v>
      </c>
      <c r="E15" s="124">
        <f>'15.B NatHERS Path'!D68</f>
        <v>0</v>
      </c>
      <c r="F15" s="124">
        <f t="shared" ref="F15:F17" si="1">IFERROR((C15/$C$18*D15)*(E15/D15),"ERROR")</f>
        <v>0</v>
      </c>
      <c r="G15" s="50">
        <f>'15.B NatHERS Path'!D81</f>
        <v>1</v>
      </c>
      <c r="H15" s="50">
        <f>'15.B NatHERS Path'!D80</f>
        <v>0</v>
      </c>
      <c r="I15" s="50">
        <f>IFERROR((C15/$C$18*G15)*(H15/G15),"ERROR")</f>
        <v>0</v>
      </c>
    </row>
    <row r="16" spans="1:13" ht="18" customHeight="1" x14ac:dyDescent="0.2">
      <c r="B16" s="6" t="s">
        <v>251</v>
      </c>
      <c r="C16" s="57">
        <v>1</v>
      </c>
      <c r="D16" s="50">
        <f>'15.C NABERS Energy Path'!D33</f>
        <v>16</v>
      </c>
      <c r="E16" s="124">
        <f>'15.C NABERS Energy Path'!D31</f>
        <v>0</v>
      </c>
      <c r="F16" s="124">
        <f t="shared" si="1"/>
        <v>0</v>
      </c>
      <c r="G16" s="50">
        <f>'15.C NABERS Energy Path'!D41</f>
        <v>0</v>
      </c>
      <c r="H16" s="50">
        <f>'15.C NABERS Energy Path'!D40</f>
        <v>0</v>
      </c>
      <c r="I16" s="50">
        <f>IFERROR((C16/$C$18*0),"ERROR")</f>
        <v>0</v>
      </c>
    </row>
    <row r="17" spans="2:9" ht="18" customHeight="1" x14ac:dyDescent="0.2">
      <c r="B17" s="6" t="s">
        <v>252</v>
      </c>
      <c r="C17" s="57">
        <v>1</v>
      </c>
      <c r="D17" s="50">
        <f>'15.D Modelled Path'!C109</f>
        <v>20</v>
      </c>
      <c r="E17" s="50">
        <f>'15.D Modelled Path'!C108</f>
        <v>0</v>
      </c>
      <c r="F17" s="50">
        <f t="shared" si="1"/>
        <v>0</v>
      </c>
      <c r="G17" s="50">
        <f>'15.D Modelled Path'!C118</f>
        <v>2</v>
      </c>
      <c r="H17" s="50">
        <f>'15.D Modelled Path'!C117</f>
        <v>0</v>
      </c>
      <c r="I17" s="50">
        <f t="shared" si="0"/>
        <v>0</v>
      </c>
    </row>
    <row r="18" spans="2:9" ht="18" customHeight="1" thickBot="1" x14ac:dyDescent="0.25">
      <c r="B18" s="87" t="s">
        <v>52</v>
      </c>
      <c r="C18" s="70">
        <f>SUM(C14:C17)</f>
        <v>4</v>
      </c>
      <c r="D18" s="70"/>
      <c r="E18" s="70"/>
      <c r="F18" s="125">
        <f>SUM(F14:F17)</f>
        <v>0</v>
      </c>
      <c r="G18" s="70"/>
      <c r="H18" s="70"/>
      <c r="I18" s="70">
        <f>SUM(I14:I17)</f>
        <v>0</v>
      </c>
    </row>
    <row r="19" spans="2:9" ht="13.5" thickTop="1" x14ac:dyDescent="0.2"/>
  </sheetData>
  <sheetProtection password="E6B1" sheet="1" objects="1" scenarios="1"/>
  <mergeCells count="3">
    <mergeCell ref="D12:F12"/>
    <mergeCell ref="G12:I12"/>
    <mergeCell ref="C12:C13"/>
  </mergeCells>
  <pageMargins left="0.7" right="0.7" top="0.75" bottom="0.75" header="0.3" footer="0.3"/>
  <pageSetup paperSize="2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3"/>
  <sheetViews>
    <sheetView workbookViewId="0">
      <selection activeCell="B4" sqref="B4"/>
    </sheetView>
  </sheetViews>
  <sheetFormatPr defaultRowHeight="12.75" x14ac:dyDescent="0.2"/>
  <cols>
    <col min="1" max="1" width="1.42578125" customWidth="1"/>
    <col min="2" max="2" width="26.42578125" customWidth="1"/>
    <col min="3" max="3" width="55.85546875" bestFit="1" customWidth="1"/>
    <col min="4" max="4" width="12.7109375" bestFit="1" customWidth="1"/>
    <col min="5" max="5" width="17.5703125" bestFit="1" customWidth="1"/>
    <col min="6" max="6" width="18.7109375" bestFit="1" customWidth="1"/>
  </cols>
  <sheetData>
    <row r="1" spans="2:6" ht="7.5" customHeight="1" x14ac:dyDescent="0.2"/>
    <row r="2" spans="2:6" x14ac:dyDescent="0.2">
      <c r="B2" s="196" t="s">
        <v>138</v>
      </c>
      <c r="C2" s="196" t="s">
        <v>139</v>
      </c>
      <c r="D2" s="8" t="s">
        <v>148</v>
      </c>
      <c r="E2" s="8" t="s">
        <v>140</v>
      </c>
      <c r="F2" s="8" t="s">
        <v>141</v>
      </c>
    </row>
    <row r="3" spans="2:6" ht="14.25" x14ac:dyDescent="0.25">
      <c r="B3" s="197"/>
      <c r="C3" s="197"/>
      <c r="D3" s="12" t="s">
        <v>48</v>
      </c>
      <c r="E3" s="12" t="s">
        <v>149</v>
      </c>
      <c r="F3" s="12" t="s">
        <v>150</v>
      </c>
    </row>
    <row r="4" spans="2:6" x14ac:dyDescent="0.2">
      <c r="B4" s="13"/>
      <c r="C4" s="7"/>
      <c r="D4" s="7"/>
      <c r="E4" s="4">
        <f t="shared" ref="E4:E35" si="0">IFERROR(VLOOKUP(C4,SynthGHGRate,2,FALSE),0)</f>
        <v>0</v>
      </c>
      <c r="F4" s="4">
        <f>IFERROR(E4*D4,0)</f>
        <v>0</v>
      </c>
    </row>
    <row r="5" spans="2:6" x14ac:dyDescent="0.2">
      <c r="B5" s="13"/>
      <c r="C5" s="7"/>
      <c r="D5" s="7"/>
      <c r="E5" s="4">
        <f t="shared" si="0"/>
        <v>0</v>
      </c>
      <c r="F5" s="4">
        <f t="shared" ref="F5:F52" si="1">IFERROR(E5*D5,0)</f>
        <v>0</v>
      </c>
    </row>
    <row r="6" spans="2:6" x14ac:dyDescent="0.2">
      <c r="B6" s="13"/>
      <c r="C6" s="7"/>
      <c r="D6" s="7"/>
      <c r="E6" s="4">
        <f t="shared" si="0"/>
        <v>0</v>
      </c>
      <c r="F6" s="4">
        <f t="shared" si="1"/>
        <v>0</v>
      </c>
    </row>
    <row r="7" spans="2:6" x14ac:dyDescent="0.2">
      <c r="B7" s="13"/>
      <c r="C7" s="7"/>
      <c r="D7" s="7"/>
      <c r="E7" s="4">
        <f t="shared" si="0"/>
        <v>0</v>
      </c>
      <c r="F7" s="4">
        <f t="shared" si="1"/>
        <v>0</v>
      </c>
    </row>
    <row r="8" spans="2:6" x14ac:dyDescent="0.2">
      <c r="B8" s="13"/>
      <c r="C8" s="7"/>
      <c r="D8" s="7"/>
      <c r="E8" s="4">
        <f t="shared" si="0"/>
        <v>0</v>
      </c>
      <c r="F8" s="4">
        <f t="shared" si="1"/>
        <v>0</v>
      </c>
    </row>
    <row r="9" spans="2:6" x14ac:dyDescent="0.2">
      <c r="B9" s="13"/>
      <c r="C9" s="7"/>
      <c r="D9" s="7"/>
      <c r="E9" s="4">
        <f t="shared" si="0"/>
        <v>0</v>
      </c>
      <c r="F9" s="4">
        <f t="shared" si="1"/>
        <v>0</v>
      </c>
    </row>
    <row r="10" spans="2:6" x14ac:dyDescent="0.2">
      <c r="B10" s="13"/>
      <c r="C10" s="7"/>
      <c r="D10" s="7"/>
      <c r="E10" s="4">
        <f t="shared" si="0"/>
        <v>0</v>
      </c>
      <c r="F10" s="4">
        <f t="shared" si="1"/>
        <v>0</v>
      </c>
    </row>
    <row r="11" spans="2:6" x14ac:dyDescent="0.2">
      <c r="B11" s="13"/>
      <c r="C11" s="7"/>
      <c r="D11" s="7"/>
      <c r="E11" s="4">
        <f t="shared" si="0"/>
        <v>0</v>
      </c>
      <c r="F11" s="4">
        <f t="shared" si="1"/>
        <v>0</v>
      </c>
    </row>
    <row r="12" spans="2:6" x14ac:dyDescent="0.2">
      <c r="B12" s="13"/>
      <c r="C12" s="7"/>
      <c r="D12" s="7"/>
      <c r="E12" s="4">
        <f t="shared" si="0"/>
        <v>0</v>
      </c>
      <c r="F12" s="4">
        <f t="shared" si="1"/>
        <v>0</v>
      </c>
    </row>
    <row r="13" spans="2:6" x14ac:dyDescent="0.2">
      <c r="B13" s="13"/>
      <c r="C13" s="7"/>
      <c r="D13" s="7"/>
      <c r="E13" s="4">
        <f t="shared" si="0"/>
        <v>0</v>
      </c>
      <c r="F13" s="4">
        <f t="shared" si="1"/>
        <v>0</v>
      </c>
    </row>
    <row r="14" spans="2:6" x14ac:dyDescent="0.2">
      <c r="B14" s="13"/>
      <c r="C14" s="7"/>
      <c r="D14" s="7"/>
      <c r="E14" s="4">
        <f t="shared" si="0"/>
        <v>0</v>
      </c>
      <c r="F14" s="4">
        <f t="shared" si="1"/>
        <v>0</v>
      </c>
    </row>
    <row r="15" spans="2:6" x14ac:dyDescent="0.2">
      <c r="B15" s="13"/>
      <c r="C15" s="7"/>
      <c r="D15" s="7"/>
      <c r="E15" s="4">
        <f t="shared" si="0"/>
        <v>0</v>
      </c>
      <c r="F15" s="4">
        <f t="shared" si="1"/>
        <v>0</v>
      </c>
    </row>
    <row r="16" spans="2:6" x14ac:dyDescent="0.2">
      <c r="B16" s="13"/>
      <c r="C16" s="7"/>
      <c r="D16" s="7"/>
      <c r="E16" s="4">
        <f t="shared" si="0"/>
        <v>0</v>
      </c>
      <c r="F16" s="4">
        <f t="shared" si="1"/>
        <v>0</v>
      </c>
    </row>
    <row r="17" spans="2:6" x14ac:dyDescent="0.2">
      <c r="B17" s="13"/>
      <c r="C17" s="7"/>
      <c r="D17" s="7"/>
      <c r="E17" s="4">
        <f t="shared" si="0"/>
        <v>0</v>
      </c>
      <c r="F17" s="4">
        <f t="shared" si="1"/>
        <v>0</v>
      </c>
    </row>
    <row r="18" spans="2:6" x14ac:dyDescent="0.2">
      <c r="B18" s="13"/>
      <c r="C18" s="7"/>
      <c r="D18" s="7"/>
      <c r="E18" s="4">
        <f t="shared" si="0"/>
        <v>0</v>
      </c>
      <c r="F18" s="4">
        <f t="shared" si="1"/>
        <v>0</v>
      </c>
    </row>
    <row r="19" spans="2:6" x14ac:dyDescent="0.2">
      <c r="B19" s="13"/>
      <c r="C19" s="7"/>
      <c r="D19" s="7"/>
      <c r="E19" s="4">
        <f t="shared" si="0"/>
        <v>0</v>
      </c>
      <c r="F19" s="4">
        <f t="shared" si="1"/>
        <v>0</v>
      </c>
    </row>
    <row r="20" spans="2:6" x14ac:dyDescent="0.2">
      <c r="B20" s="13"/>
      <c r="C20" s="7"/>
      <c r="D20" s="7"/>
      <c r="E20" s="4">
        <f t="shared" si="0"/>
        <v>0</v>
      </c>
      <c r="F20" s="4">
        <f t="shared" si="1"/>
        <v>0</v>
      </c>
    </row>
    <row r="21" spans="2:6" x14ac:dyDescent="0.2">
      <c r="B21" s="13"/>
      <c r="C21" s="7"/>
      <c r="D21" s="7"/>
      <c r="E21" s="4">
        <f t="shared" si="0"/>
        <v>0</v>
      </c>
      <c r="F21" s="4">
        <f t="shared" si="1"/>
        <v>0</v>
      </c>
    </row>
    <row r="22" spans="2:6" x14ac:dyDescent="0.2">
      <c r="B22" s="13"/>
      <c r="C22" s="7"/>
      <c r="D22" s="7"/>
      <c r="E22" s="4">
        <f t="shared" si="0"/>
        <v>0</v>
      </c>
      <c r="F22" s="4">
        <f t="shared" si="1"/>
        <v>0</v>
      </c>
    </row>
    <row r="23" spans="2:6" x14ac:dyDescent="0.2">
      <c r="B23" s="13"/>
      <c r="C23" s="7"/>
      <c r="D23" s="7"/>
      <c r="E23" s="4">
        <f t="shared" si="0"/>
        <v>0</v>
      </c>
      <c r="F23" s="4">
        <f t="shared" si="1"/>
        <v>0</v>
      </c>
    </row>
    <row r="24" spans="2:6" x14ac:dyDescent="0.2">
      <c r="B24" s="13"/>
      <c r="C24" s="7"/>
      <c r="D24" s="7"/>
      <c r="E24" s="4">
        <f t="shared" si="0"/>
        <v>0</v>
      </c>
      <c r="F24" s="4">
        <f t="shared" si="1"/>
        <v>0</v>
      </c>
    </row>
    <row r="25" spans="2:6" x14ac:dyDescent="0.2">
      <c r="B25" s="13"/>
      <c r="C25" s="7"/>
      <c r="D25" s="7"/>
      <c r="E25" s="4">
        <f t="shared" si="0"/>
        <v>0</v>
      </c>
      <c r="F25" s="4">
        <f t="shared" si="1"/>
        <v>0</v>
      </c>
    </row>
    <row r="26" spans="2:6" x14ac:dyDescent="0.2">
      <c r="B26" s="13"/>
      <c r="C26" s="7"/>
      <c r="D26" s="7"/>
      <c r="E26" s="4">
        <f t="shared" si="0"/>
        <v>0</v>
      </c>
      <c r="F26" s="4">
        <f t="shared" si="1"/>
        <v>0</v>
      </c>
    </row>
    <row r="27" spans="2:6" x14ac:dyDescent="0.2">
      <c r="B27" s="13"/>
      <c r="C27" s="7"/>
      <c r="D27" s="7"/>
      <c r="E27" s="4">
        <f t="shared" si="0"/>
        <v>0</v>
      </c>
      <c r="F27" s="4">
        <f t="shared" si="1"/>
        <v>0</v>
      </c>
    </row>
    <row r="28" spans="2:6" x14ac:dyDescent="0.2">
      <c r="B28" s="13"/>
      <c r="C28" s="7"/>
      <c r="D28" s="7"/>
      <c r="E28" s="4">
        <f t="shared" si="0"/>
        <v>0</v>
      </c>
      <c r="F28" s="4">
        <f t="shared" si="1"/>
        <v>0</v>
      </c>
    </row>
    <row r="29" spans="2:6" x14ac:dyDescent="0.2">
      <c r="B29" s="13"/>
      <c r="C29" s="7"/>
      <c r="D29" s="7"/>
      <c r="E29" s="4">
        <f t="shared" si="0"/>
        <v>0</v>
      </c>
      <c r="F29" s="4">
        <f t="shared" si="1"/>
        <v>0</v>
      </c>
    </row>
    <row r="30" spans="2:6" x14ac:dyDescent="0.2">
      <c r="B30" s="13"/>
      <c r="C30" s="7"/>
      <c r="D30" s="7"/>
      <c r="E30" s="4">
        <f t="shared" si="0"/>
        <v>0</v>
      </c>
      <c r="F30" s="4">
        <f t="shared" si="1"/>
        <v>0</v>
      </c>
    </row>
    <row r="31" spans="2:6" x14ac:dyDescent="0.2">
      <c r="B31" s="13"/>
      <c r="C31" s="7"/>
      <c r="D31" s="7"/>
      <c r="E31" s="4">
        <f t="shared" si="0"/>
        <v>0</v>
      </c>
      <c r="F31" s="4">
        <f t="shared" si="1"/>
        <v>0</v>
      </c>
    </row>
    <row r="32" spans="2:6" x14ac:dyDescent="0.2">
      <c r="B32" s="13"/>
      <c r="C32" s="7"/>
      <c r="D32" s="7"/>
      <c r="E32" s="4">
        <f t="shared" si="0"/>
        <v>0</v>
      </c>
      <c r="F32" s="4">
        <f t="shared" si="1"/>
        <v>0</v>
      </c>
    </row>
    <row r="33" spans="2:6" x14ac:dyDescent="0.2">
      <c r="B33" s="13"/>
      <c r="C33" s="7"/>
      <c r="D33" s="7"/>
      <c r="E33" s="4">
        <f t="shared" si="0"/>
        <v>0</v>
      </c>
      <c r="F33" s="4">
        <f t="shared" si="1"/>
        <v>0</v>
      </c>
    </row>
    <row r="34" spans="2:6" x14ac:dyDescent="0.2">
      <c r="B34" s="13"/>
      <c r="C34" s="7"/>
      <c r="D34" s="7"/>
      <c r="E34" s="4">
        <f t="shared" si="0"/>
        <v>0</v>
      </c>
      <c r="F34" s="4">
        <f t="shared" si="1"/>
        <v>0</v>
      </c>
    </row>
    <row r="35" spans="2:6" x14ac:dyDescent="0.2">
      <c r="B35" s="13"/>
      <c r="C35" s="7"/>
      <c r="D35" s="7"/>
      <c r="E35" s="4">
        <f t="shared" si="0"/>
        <v>0</v>
      </c>
      <c r="F35" s="4">
        <f t="shared" si="1"/>
        <v>0</v>
      </c>
    </row>
    <row r="36" spans="2:6" x14ac:dyDescent="0.2">
      <c r="B36" s="13"/>
      <c r="C36" s="7"/>
      <c r="D36" s="7"/>
      <c r="E36" s="4">
        <f t="shared" ref="E36:E52" si="2">IFERROR(VLOOKUP(C36,SynthGHGRate,2,FALSE),0)</f>
        <v>0</v>
      </c>
      <c r="F36" s="4">
        <f t="shared" si="1"/>
        <v>0</v>
      </c>
    </row>
    <row r="37" spans="2:6" x14ac:dyDescent="0.2">
      <c r="B37" s="13"/>
      <c r="C37" s="7"/>
      <c r="D37" s="7"/>
      <c r="E37" s="4">
        <f t="shared" si="2"/>
        <v>0</v>
      </c>
      <c r="F37" s="4">
        <f t="shared" si="1"/>
        <v>0</v>
      </c>
    </row>
    <row r="38" spans="2:6" x14ac:dyDescent="0.2">
      <c r="B38" s="13"/>
      <c r="C38" s="7"/>
      <c r="D38" s="7"/>
      <c r="E38" s="4">
        <f t="shared" si="2"/>
        <v>0</v>
      </c>
      <c r="F38" s="4">
        <f t="shared" si="1"/>
        <v>0</v>
      </c>
    </row>
    <row r="39" spans="2:6" x14ac:dyDescent="0.2">
      <c r="B39" s="13"/>
      <c r="C39" s="7"/>
      <c r="D39" s="7"/>
      <c r="E39" s="4">
        <f t="shared" si="2"/>
        <v>0</v>
      </c>
      <c r="F39" s="4">
        <f t="shared" si="1"/>
        <v>0</v>
      </c>
    </row>
    <row r="40" spans="2:6" x14ac:dyDescent="0.2">
      <c r="B40" s="13"/>
      <c r="C40" s="7"/>
      <c r="D40" s="7"/>
      <c r="E40" s="4">
        <f t="shared" si="2"/>
        <v>0</v>
      </c>
      <c r="F40" s="4">
        <f t="shared" si="1"/>
        <v>0</v>
      </c>
    </row>
    <row r="41" spans="2:6" x14ac:dyDescent="0.2">
      <c r="B41" s="13"/>
      <c r="C41" s="7"/>
      <c r="D41" s="7"/>
      <c r="E41" s="4">
        <f t="shared" si="2"/>
        <v>0</v>
      </c>
      <c r="F41" s="4">
        <f t="shared" si="1"/>
        <v>0</v>
      </c>
    </row>
    <row r="42" spans="2:6" x14ac:dyDescent="0.2">
      <c r="B42" s="13"/>
      <c r="C42" s="7"/>
      <c r="D42" s="7"/>
      <c r="E42" s="4">
        <f t="shared" si="2"/>
        <v>0</v>
      </c>
      <c r="F42" s="4">
        <f t="shared" si="1"/>
        <v>0</v>
      </c>
    </row>
    <row r="43" spans="2:6" x14ac:dyDescent="0.2">
      <c r="B43" s="13"/>
      <c r="C43" s="7"/>
      <c r="D43" s="7"/>
      <c r="E43" s="4">
        <f t="shared" si="2"/>
        <v>0</v>
      </c>
      <c r="F43" s="4">
        <f t="shared" si="1"/>
        <v>0</v>
      </c>
    </row>
    <row r="44" spans="2:6" x14ac:dyDescent="0.2">
      <c r="B44" s="13"/>
      <c r="C44" s="7"/>
      <c r="D44" s="7"/>
      <c r="E44" s="4">
        <f t="shared" si="2"/>
        <v>0</v>
      </c>
      <c r="F44" s="4">
        <f t="shared" si="1"/>
        <v>0</v>
      </c>
    </row>
    <row r="45" spans="2:6" x14ac:dyDescent="0.2">
      <c r="B45" s="13"/>
      <c r="C45" s="7"/>
      <c r="D45" s="7"/>
      <c r="E45" s="4">
        <f t="shared" si="2"/>
        <v>0</v>
      </c>
      <c r="F45" s="4">
        <f t="shared" si="1"/>
        <v>0</v>
      </c>
    </row>
    <row r="46" spans="2:6" x14ac:dyDescent="0.2">
      <c r="B46" s="13"/>
      <c r="C46" s="7"/>
      <c r="D46" s="7"/>
      <c r="E46" s="4">
        <f t="shared" si="2"/>
        <v>0</v>
      </c>
      <c r="F46" s="4">
        <f t="shared" si="1"/>
        <v>0</v>
      </c>
    </row>
    <row r="47" spans="2:6" x14ac:dyDescent="0.2">
      <c r="B47" s="13"/>
      <c r="C47" s="7"/>
      <c r="D47" s="7"/>
      <c r="E47" s="4">
        <f t="shared" si="2"/>
        <v>0</v>
      </c>
      <c r="F47" s="4">
        <f t="shared" si="1"/>
        <v>0</v>
      </c>
    </row>
    <row r="48" spans="2:6" x14ac:dyDescent="0.2">
      <c r="B48" s="13"/>
      <c r="C48" s="7"/>
      <c r="D48" s="7"/>
      <c r="E48" s="4">
        <f t="shared" si="2"/>
        <v>0</v>
      </c>
      <c r="F48" s="4">
        <f t="shared" si="1"/>
        <v>0</v>
      </c>
    </row>
    <row r="49" spans="2:6" x14ac:dyDescent="0.2">
      <c r="B49" s="13"/>
      <c r="C49" s="7"/>
      <c r="D49" s="7"/>
      <c r="E49" s="4">
        <f t="shared" si="2"/>
        <v>0</v>
      </c>
      <c r="F49" s="4">
        <f t="shared" si="1"/>
        <v>0</v>
      </c>
    </row>
    <row r="50" spans="2:6" x14ac:dyDescent="0.2">
      <c r="B50" s="13"/>
      <c r="C50" s="7"/>
      <c r="D50" s="7"/>
      <c r="E50" s="4">
        <f t="shared" si="2"/>
        <v>0</v>
      </c>
      <c r="F50" s="4">
        <f t="shared" si="1"/>
        <v>0</v>
      </c>
    </row>
    <row r="51" spans="2:6" x14ac:dyDescent="0.2">
      <c r="B51" s="13"/>
      <c r="C51" s="7"/>
      <c r="D51" s="7"/>
      <c r="E51" s="4">
        <f t="shared" si="2"/>
        <v>0</v>
      </c>
      <c r="F51" s="4">
        <f t="shared" si="1"/>
        <v>0</v>
      </c>
    </row>
    <row r="52" spans="2:6" x14ac:dyDescent="0.2">
      <c r="B52" s="13"/>
      <c r="C52" s="7"/>
      <c r="D52" s="7"/>
      <c r="E52" s="4">
        <f t="shared" si="2"/>
        <v>0</v>
      </c>
      <c r="F52" s="4">
        <f t="shared" si="1"/>
        <v>0</v>
      </c>
    </row>
    <row r="53" spans="2:6" x14ac:dyDescent="0.2">
      <c r="F53" s="14">
        <f>SUM(F4:F52)</f>
        <v>0</v>
      </c>
    </row>
  </sheetData>
  <mergeCells count="2">
    <mergeCell ref="B2:B3"/>
    <mergeCell ref="C2:C3"/>
  </mergeCells>
  <dataValidations count="1">
    <dataValidation type="list" allowBlank="1" showInputMessage="1" showErrorMessage="1" sqref="C4:C52">
      <formula1>SynthGHGSource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2"/>
  <sheetViews>
    <sheetView workbookViewId="0">
      <pane ySplit="3" topLeftCell="A4" activePane="bottomLeft" state="frozen"/>
      <selection pane="bottomLeft" activeCell="B5" sqref="B5"/>
    </sheetView>
  </sheetViews>
  <sheetFormatPr defaultRowHeight="12.75" x14ac:dyDescent="0.2"/>
  <cols>
    <col min="1" max="1" width="1.42578125" customWidth="1"/>
    <col min="2" max="2" width="7.5703125" customWidth="1"/>
    <col min="3" max="3" width="15.42578125" customWidth="1"/>
    <col min="4" max="23" width="5.28515625" customWidth="1"/>
    <col min="31" max="31" width="55.85546875" bestFit="1" customWidth="1"/>
    <col min="32" max="32" width="11.7109375" bestFit="1" customWidth="1"/>
  </cols>
  <sheetData>
    <row r="1" spans="2:32" ht="7.5" customHeight="1" x14ac:dyDescent="0.2"/>
    <row r="2" spans="2:32" x14ac:dyDescent="0.2">
      <c r="B2" s="199" t="s">
        <v>3</v>
      </c>
      <c r="C2" s="198" t="s">
        <v>14</v>
      </c>
      <c r="D2" s="198" t="s">
        <v>15</v>
      </c>
      <c r="E2" s="198"/>
      <c r="F2" s="198"/>
      <c r="G2" s="198"/>
      <c r="H2" s="198"/>
      <c r="I2" s="198"/>
      <c r="J2" s="198"/>
      <c r="K2" s="198"/>
      <c r="L2" s="198"/>
      <c r="M2" s="198"/>
      <c r="N2" s="198"/>
      <c r="O2" s="198"/>
      <c r="P2" s="198"/>
      <c r="Q2" s="198"/>
      <c r="R2" s="198"/>
      <c r="S2" s="198"/>
      <c r="T2" s="198"/>
      <c r="U2" s="198"/>
      <c r="V2" s="198"/>
      <c r="W2" s="198"/>
      <c r="AC2" t="s">
        <v>131</v>
      </c>
      <c r="AD2" t="s">
        <v>132</v>
      </c>
      <c r="AE2" t="s">
        <v>146</v>
      </c>
      <c r="AF2" t="s">
        <v>147</v>
      </c>
    </row>
    <row r="3" spans="2:32" x14ac:dyDescent="0.2">
      <c r="B3" s="199"/>
      <c r="C3" s="198"/>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65</v>
      </c>
      <c r="AB3" t="s">
        <v>123</v>
      </c>
      <c r="AC3">
        <v>1.05</v>
      </c>
      <c r="AD3">
        <f>64.13/1000</f>
        <v>6.4129999999999993E-2</v>
      </c>
      <c r="AE3" t="s">
        <v>142</v>
      </c>
      <c r="AF3">
        <v>0.09</v>
      </c>
    </row>
    <row r="4" spans="2:32" x14ac:dyDescent="0.2">
      <c r="B4" s="5">
        <v>1</v>
      </c>
      <c r="C4" t="s">
        <v>16</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66</v>
      </c>
      <c r="AB4" t="s">
        <v>124</v>
      </c>
      <c r="AC4">
        <v>1.05</v>
      </c>
      <c r="AD4">
        <f>64.13/1000</f>
        <v>6.4129999999999993E-2</v>
      </c>
      <c r="AE4" t="s">
        <v>143</v>
      </c>
      <c r="AF4">
        <v>0.23</v>
      </c>
    </row>
    <row r="5" spans="2:32" x14ac:dyDescent="0.2">
      <c r="B5" s="5">
        <v>2</v>
      </c>
      <c r="C5" t="s">
        <v>17</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135</v>
      </c>
      <c r="AB5" t="s">
        <v>125</v>
      </c>
      <c r="AC5">
        <v>0.77</v>
      </c>
      <c r="AD5">
        <f>51.33/1000</f>
        <v>5.1330000000000001E-2</v>
      </c>
      <c r="AE5" t="s">
        <v>144</v>
      </c>
      <c r="AF5">
        <v>0.16</v>
      </c>
    </row>
    <row r="6" spans="2:32" x14ac:dyDescent="0.2">
      <c r="B6" s="5">
        <v>3</v>
      </c>
      <c r="C6" t="s">
        <v>18</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115</v>
      </c>
      <c r="AB6" t="s">
        <v>130</v>
      </c>
      <c r="AC6">
        <v>0.95</v>
      </c>
      <c r="AD6">
        <f>60.03/1000</f>
        <v>6.003E-2</v>
      </c>
      <c r="AE6" t="s">
        <v>145</v>
      </c>
      <c r="AF6">
        <v>8.8999999999999999E-3</v>
      </c>
    </row>
    <row r="7" spans="2:32" x14ac:dyDescent="0.2">
      <c r="B7" s="5">
        <v>4</v>
      </c>
      <c r="C7" t="s">
        <v>19</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116</v>
      </c>
      <c r="AB7" t="s">
        <v>128</v>
      </c>
      <c r="AC7">
        <v>0.73</v>
      </c>
      <c r="AD7">
        <f>61.73/1000</f>
        <v>6.173E-2</v>
      </c>
    </row>
    <row r="8" spans="2:32" x14ac:dyDescent="0.2">
      <c r="B8" s="5">
        <v>5</v>
      </c>
      <c r="C8" t="s">
        <v>20</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118</v>
      </c>
      <c r="AB8" t="s">
        <v>129</v>
      </c>
      <c r="AC8">
        <v>0.22</v>
      </c>
      <c r="AD8">
        <f>51.33/1000</f>
        <v>5.1330000000000001E-2</v>
      </c>
    </row>
    <row r="9" spans="2:32" x14ac:dyDescent="0.2">
      <c r="B9" s="5">
        <v>6</v>
      </c>
      <c r="C9" t="s">
        <v>21</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87</v>
      </c>
      <c r="AB9" t="s">
        <v>127</v>
      </c>
      <c r="AC9">
        <v>1.32</v>
      </c>
      <c r="AD9">
        <f>55.23/1000</f>
        <v>5.5229999999999994E-2</v>
      </c>
    </row>
    <row r="10" spans="2:32" x14ac:dyDescent="0.2">
      <c r="B10" s="5">
        <v>7</v>
      </c>
      <c r="C10" t="s">
        <v>22</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228</v>
      </c>
      <c r="AB10" t="s">
        <v>126</v>
      </c>
      <c r="AC10">
        <v>0.84</v>
      </c>
      <c r="AD10">
        <f>55.33/1000</f>
        <v>5.5329999999999997E-2</v>
      </c>
    </row>
    <row r="11" spans="2:32" x14ac:dyDescent="0.2">
      <c r="B11" s="5">
        <v>8</v>
      </c>
      <c r="C11" t="s">
        <v>23</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229</v>
      </c>
    </row>
    <row r="12" spans="2:32" x14ac:dyDescent="0.2">
      <c r="B12" s="5">
        <v>9</v>
      </c>
      <c r="C12" t="s">
        <v>24</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230</v>
      </c>
    </row>
    <row r="13" spans="2:32" x14ac:dyDescent="0.2">
      <c r="B13" s="5">
        <v>10</v>
      </c>
      <c r="C13" t="s">
        <v>25</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
      <c r="B14" s="5">
        <v>11</v>
      </c>
      <c r="C14" t="s">
        <v>26</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
      <c r="B15" s="5">
        <v>12</v>
      </c>
      <c r="C15" t="s">
        <v>27</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
      <c r="B16" s="5">
        <v>13</v>
      </c>
      <c r="C16" t="s">
        <v>28</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
      <c r="B17" s="5">
        <v>14</v>
      </c>
      <c r="C17" t="s">
        <v>29</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
      <c r="B18" s="5">
        <v>15</v>
      </c>
      <c r="C18" t="s">
        <v>30</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
      <c r="B19" s="5">
        <v>16</v>
      </c>
      <c r="C19" t="s">
        <v>31</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
      <c r="B20" s="5">
        <v>17</v>
      </c>
      <c r="C20" t="s">
        <v>32</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
      <c r="B21" s="5">
        <v>18</v>
      </c>
      <c r="C21" t="s">
        <v>33</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
      <c r="B22" s="5">
        <v>19</v>
      </c>
      <c r="C22" t="s">
        <v>34</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
      <c r="B23" s="5">
        <v>20</v>
      </c>
      <c r="C23" t="s">
        <v>35</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246</v>
      </c>
    </row>
    <row r="24" spans="2:26" x14ac:dyDescent="0.2">
      <c r="B24" s="5">
        <v>21</v>
      </c>
      <c r="C24" t="s">
        <v>36</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8" t="s">
        <v>247</v>
      </c>
    </row>
    <row r="25" spans="2:26" x14ac:dyDescent="0.2">
      <c r="B25" s="5">
        <v>22</v>
      </c>
      <c r="C25" t="s">
        <v>37</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
      <c r="B26" s="5">
        <v>23</v>
      </c>
      <c r="C26" t="s">
        <v>38</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
      <c r="B27" s="5">
        <v>24</v>
      </c>
      <c r="C27" s="16" t="s">
        <v>167</v>
      </c>
      <c r="D27" s="16">
        <v>957</v>
      </c>
      <c r="E27" s="16">
        <v>792</v>
      </c>
      <c r="F27" s="16">
        <v>657</v>
      </c>
      <c r="G27" s="16">
        <v>547</v>
      </c>
      <c r="H27" s="16">
        <v>458</v>
      </c>
      <c r="I27" s="16">
        <v>387</v>
      </c>
      <c r="J27" s="16">
        <v>330</v>
      </c>
      <c r="K27" s="16">
        <v>284</v>
      </c>
      <c r="L27" s="16">
        <v>247</v>
      </c>
      <c r="M27" s="16">
        <v>216</v>
      </c>
      <c r="N27" s="16">
        <v>189</v>
      </c>
      <c r="O27" s="16">
        <v>165</v>
      </c>
      <c r="P27" s="16">
        <v>142</v>
      </c>
      <c r="Q27" s="16">
        <v>120</v>
      </c>
      <c r="R27" s="16">
        <v>99</v>
      </c>
      <c r="S27" s="16">
        <v>77</v>
      </c>
      <c r="T27" s="16">
        <v>56</v>
      </c>
      <c r="U27" s="16">
        <v>35</v>
      </c>
      <c r="V27" s="16">
        <v>17</v>
      </c>
      <c r="W27" s="16">
        <v>2</v>
      </c>
    </row>
    <row r="28" spans="2:26" x14ac:dyDescent="0.2">
      <c r="B28" s="5">
        <v>25</v>
      </c>
      <c r="C28" s="16" t="s">
        <v>168</v>
      </c>
      <c r="D28" s="16">
        <v>1666</v>
      </c>
      <c r="E28" s="16">
        <v>1404</v>
      </c>
      <c r="F28" s="16">
        <v>1188</v>
      </c>
      <c r="G28" s="16">
        <v>1012</v>
      </c>
      <c r="H28" s="16">
        <v>870</v>
      </c>
      <c r="I28" s="16">
        <v>753</v>
      </c>
      <c r="J28" s="16">
        <v>658</v>
      </c>
      <c r="K28" s="16">
        <v>580</v>
      </c>
      <c r="L28" s="16">
        <v>513</v>
      </c>
      <c r="M28" s="16">
        <v>454</v>
      </c>
      <c r="N28" s="16">
        <v>401</v>
      </c>
      <c r="O28" s="16">
        <v>352</v>
      </c>
      <c r="P28" s="16">
        <v>303</v>
      </c>
      <c r="Q28" s="16">
        <v>255</v>
      </c>
      <c r="R28" s="16">
        <v>208</v>
      </c>
      <c r="S28" s="16">
        <v>160</v>
      </c>
      <c r="T28" s="16">
        <v>114</v>
      </c>
      <c r="U28" s="16">
        <v>71</v>
      </c>
      <c r="V28" s="16">
        <v>33</v>
      </c>
      <c r="W28" s="16">
        <v>1</v>
      </c>
    </row>
    <row r="29" spans="2:26" x14ac:dyDescent="0.2">
      <c r="B29" s="5">
        <v>26</v>
      </c>
      <c r="C29" s="16" t="s">
        <v>169</v>
      </c>
      <c r="D29" s="16">
        <v>876</v>
      </c>
      <c r="E29" s="16">
        <v>723</v>
      </c>
      <c r="F29" s="16">
        <v>598</v>
      </c>
      <c r="G29" s="16">
        <v>498</v>
      </c>
      <c r="H29" s="16">
        <v>417</v>
      </c>
      <c r="I29" s="16">
        <v>354</v>
      </c>
      <c r="J29" s="16">
        <v>303</v>
      </c>
      <c r="K29" s="16">
        <v>262</v>
      </c>
      <c r="L29" s="16">
        <v>229</v>
      </c>
      <c r="M29" s="16">
        <v>202</v>
      </c>
      <c r="N29" s="16">
        <v>177</v>
      </c>
      <c r="O29" s="16">
        <v>155</v>
      </c>
      <c r="P29" s="16">
        <v>134</v>
      </c>
      <c r="Q29" s="16">
        <v>113</v>
      </c>
      <c r="R29" s="16">
        <v>92</v>
      </c>
      <c r="S29" s="16">
        <v>71</v>
      </c>
      <c r="T29" s="16">
        <v>51</v>
      </c>
      <c r="U29" s="16">
        <v>31</v>
      </c>
      <c r="V29" s="16">
        <v>14</v>
      </c>
      <c r="W29" s="16">
        <v>0</v>
      </c>
    </row>
    <row r="30" spans="2:26" x14ac:dyDescent="0.2">
      <c r="B30" s="5">
        <v>27</v>
      </c>
      <c r="C30" s="16" t="s">
        <v>170</v>
      </c>
      <c r="D30" s="16">
        <v>660</v>
      </c>
      <c r="E30" s="16">
        <v>541</v>
      </c>
      <c r="F30" s="16">
        <v>444</v>
      </c>
      <c r="G30" s="16">
        <v>367</v>
      </c>
      <c r="H30" s="16">
        <v>305</v>
      </c>
      <c r="I30" s="16">
        <v>256</v>
      </c>
      <c r="J30" s="16">
        <v>218</v>
      </c>
      <c r="K30" s="16">
        <v>187</v>
      </c>
      <c r="L30" s="16">
        <v>163</v>
      </c>
      <c r="M30" s="16">
        <v>143</v>
      </c>
      <c r="N30" s="16">
        <v>126</v>
      </c>
      <c r="O30" s="16">
        <v>110</v>
      </c>
      <c r="P30" s="16">
        <v>96</v>
      </c>
      <c r="Q30" s="16">
        <v>81</v>
      </c>
      <c r="R30" s="16">
        <v>67</v>
      </c>
      <c r="S30" s="16">
        <v>53</v>
      </c>
      <c r="T30" s="16">
        <v>38</v>
      </c>
      <c r="U30" s="16">
        <v>25</v>
      </c>
      <c r="V30" s="16">
        <v>13</v>
      </c>
      <c r="W30" s="16">
        <v>3</v>
      </c>
    </row>
    <row r="31" spans="2:26" x14ac:dyDescent="0.2">
      <c r="B31" s="5">
        <v>28</v>
      </c>
      <c r="C31" s="16" t="s">
        <v>171</v>
      </c>
      <c r="D31" s="16">
        <v>555</v>
      </c>
      <c r="E31" s="16">
        <v>450</v>
      </c>
      <c r="F31" s="16">
        <v>365</v>
      </c>
      <c r="G31" s="16">
        <v>298</v>
      </c>
      <c r="H31" s="16">
        <v>245</v>
      </c>
      <c r="I31" s="16">
        <v>203</v>
      </c>
      <c r="J31" s="16">
        <v>171</v>
      </c>
      <c r="K31" s="16">
        <v>146</v>
      </c>
      <c r="L31" s="16">
        <v>127</v>
      </c>
      <c r="M31" s="16">
        <v>112</v>
      </c>
      <c r="N31" s="16">
        <v>99</v>
      </c>
      <c r="O31" s="16">
        <v>87</v>
      </c>
      <c r="P31" s="16">
        <v>77</v>
      </c>
      <c r="Q31" s="16">
        <v>66</v>
      </c>
      <c r="R31" s="16">
        <v>55</v>
      </c>
      <c r="S31" s="16">
        <v>44</v>
      </c>
      <c r="T31" s="16">
        <v>34</v>
      </c>
      <c r="U31" s="16">
        <v>23</v>
      </c>
      <c r="V31" s="16">
        <v>14</v>
      </c>
      <c r="W31" s="16">
        <v>7</v>
      </c>
    </row>
    <row r="32" spans="2:26" x14ac:dyDescent="0.2">
      <c r="B32" s="5">
        <v>29</v>
      </c>
      <c r="C32" s="16" t="s">
        <v>172</v>
      </c>
      <c r="D32" s="16">
        <v>830</v>
      </c>
      <c r="E32" s="16">
        <v>743</v>
      </c>
      <c r="F32" s="16">
        <v>671</v>
      </c>
      <c r="G32" s="16">
        <v>611</v>
      </c>
      <c r="H32" s="16">
        <v>560</v>
      </c>
      <c r="I32" s="16">
        <v>517</v>
      </c>
      <c r="J32" s="16">
        <v>479</v>
      </c>
      <c r="K32" s="16">
        <v>445</v>
      </c>
      <c r="L32" s="16">
        <v>414</v>
      </c>
      <c r="M32" s="16">
        <v>384</v>
      </c>
      <c r="N32" s="16">
        <v>355</v>
      </c>
      <c r="O32" s="16">
        <v>326</v>
      </c>
      <c r="P32" s="16">
        <v>296</v>
      </c>
      <c r="Q32" s="16">
        <v>266</v>
      </c>
      <c r="R32" s="16">
        <v>237</v>
      </c>
      <c r="S32" s="16">
        <v>207</v>
      </c>
      <c r="T32" s="16">
        <v>179</v>
      </c>
      <c r="U32" s="16">
        <v>153</v>
      </c>
      <c r="V32" s="16">
        <v>130</v>
      </c>
      <c r="W32" s="16">
        <v>111</v>
      </c>
    </row>
    <row r="33" spans="2:23" x14ac:dyDescent="0.2">
      <c r="B33" s="5">
        <v>30</v>
      </c>
      <c r="C33" s="16" t="s">
        <v>173</v>
      </c>
      <c r="D33" s="16">
        <v>1229</v>
      </c>
      <c r="E33" s="16">
        <v>1071</v>
      </c>
      <c r="F33" s="16">
        <v>943</v>
      </c>
      <c r="G33" s="16">
        <v>839</v>
      </c>
      <c r="H33" s="16">
        <v>754</v>
      </c>
      <c r="I33" s="16">
        <v>685</v>
      </c>
      <c r="J33" s="16">
        <v>626</v>
      </c>
      <c r="K33" s="16">
        <v>576</v>
      </c>
      <c r="L33" s="16">
        <v>530</v>
      </c>
      <c r="M33" s="16">
        <v>488</v>
      </c>
      <c r="N33" s="16">
        <v>447</v>
      </c>
      <c r="O33" s="16">
        <v>406</v>
      </c>
      <c r="P33" s="16">
        <v>364</v>
      </c>
      <c r="Q33" s="16">
        <v>321</v>
      </c>
      <c r="R33" s="16">
        <v>278</v>
      </c>
      <c r="S33" s="16">
        <v>234</v>
      </c>
      <c r="T33" s="16">
        <v>192</v>
      </c>
      <c r="U33" s="16">
        <v>154</v>
      </c>
      <c r="V33" s="16">
        <v>121</v>
      </c>
      <c r="W33" s="16">
        <v>95</v>
      </c>
    </row>
    <row r="34" spans="2:23" x14ac:dyDescent="0.2">
      <c r="B34" s="5">
        <v>31</v>
      </c>
      <c r="C34" s="16" t="s">
        <v>174</v>
      </c>
      <c r="D34" s="16">
        <v>427</v>
      </c>
      <c r="E34" s="16">
        <v>391</v>
      </c>
      <c r="F34" s="16">
        <v>359</v>
      </c>
      <c r="G34" s="16">
        <v>330</v>
      </c>
      <c r="H34" s="16">
        <v>305</v>
      </c>
      <c r="I34" s="16">
        <v>282</v>
      </c>
      <c r="J34" s="16">
        <v>261</v>
      </c>
      <c r="K34" s="16">
        <v>242</v>
      </c>
      <c r="L34" s="16">
        <v>224</v>
      </c>
      <c r="M34" s="16">
        <v>207</v>
      </c>
      <c r="N34" s="16">
        <v>191</v>
      </c>
      <c r="O34" s="16">
        <v>176</v>
      </c>
      <c r="P34" s="16">
        <v>160</v>
      </c>
      <c r="Q34" s="16">
        <v>146</v>
      </c>
      <c r="R34" s="16">
        <v>132</v>
      </c>
      <c r="S34" s="16">
        <v>118</v>
      </c>
      <c r="T34" s="16">
        <v>105</v>
      </c>
      <c r="U34" s="16">
        <v>93</v>
      </c>
      <c r="V34" s="16">
        <v>81</v>
      </c>
      <c r="W34" s="16">
        <v>71</v>
      </c>
    </row>
    <row r="35" spans="2:23" x14ac:dyDescent="0.2">
      <c r="B35" s="5">
        <v>32</v>
      </c>
      <c r="C35" s="16" t="s">
        <v>175</v>
      </c>
      <c r="D35" s="16">
        <v>330</v>
      </c>
      <c r="E35" s="16">
        <v>302</v>
      </c>
      <c r="F35" s="16">
        <v>276</v>
      </c>
      <c r="G35" s="16">
        <v>253</v>
      </c>
      <c r="H35" s="16">
        <v>232</v>
      </c>
      <c r="I35" s="16">
        <v>214</v>
      </c>
      <c r="J35" s="16">
        <v>197</v>
      </c>
      <c r="K35" s="16">
        <v>181</v>
      </c>
      <c r="L35" s="16">
        <v>167</v>
      </c>
      <c r="M35" s="16">
        <v>153</v>
      </c>
      <c r="N35" s="16">
        <v>140</v>
      </c>
      <c r="O35" s="16">
        <v>128</v>
      </c>
      <c r="P35" s="16">
        <v>117</v>
      </c>
      <c r="Q35" s="16">
        <v>105</v>
      </c>
      <c r="R35" s="16">
        <v>94</v>
      </c>
      <c r="S35" s="16">
        <v>84</v>
      </c>
      <c r="T35" s="16">
        <v>74</v>
      </c>
      <c r="U35" s="16">
        <v>64</v>
      </c>
      <c r="V35" s="16">
        <v>56</v>
      </c>
      <c r="W35" s="16">
        <v>48</v>
      </c>
    </row>
    <row r="36" spans="2:23" x14ac:dyDescent="0.2">
      <c r="B36" s="5">
        <v>33</v>
      </c>
      <c r="C36" s="16" t="s">
        <v>176</v>
      </c>
      <c r="D36" s="16">
        <v>732</v>
      </c>
      <c r="E36" s="16">
        <v>652</v>
      </c>
      <c r="F36" s="16">
        <v>585</v>
      </c>
      <c r="G36" s="16">
        <v>531</v>
      </c>
      <c r="H36" s="16">
        <v>486</v>
      </c>
      <c r="I36" s="16">
        <v>448</v>
      </c>
      <c r="J36" s="16">
        <v>416</v>
      </c>
      <c r="K36" s="16">
        <v>387</v>
      </c>
      <c r="L36" s="16">
        <v>360</v>
      </c>
      <c r="M36" s="16">
        <v>335</v>
      </c>
      <c r="N36" s="16">
        <v>310</v>
      </c>
      <c r="O36" s="16">
        <v>285</v>
      </c>
      <c r="P36" s="16">
        <v>260</v>
      </c>
      <c r="Q36" s="16">
        <v>234</v>
      </c>
      <c r="R36" s="16">
        <v>208</v>
      </c>
      <c r="S36" s="16">
        <v>182</v>
      </c>
      <c r="T36" s="16">
        <v>157</v>
      </c>
      <c r="U36" s="16">
        <v>134</v>
      </c>
      <c r="V36" s="16">
        <v>115</v>
      </c>
      <c r="W36" s="16">
        <v>99</v>
      </c>
    </row>
    <row r="37" spans="2:23" x14ac:dyDescent="0.2">
      <c r="B37" s="5">
        <v>34</v>
      </c>
      <c r="C37" s="16" t="s">
        <v>177</v>
      </c>
      <c r="D37" s="16">
        <v>511</v>
      </c>
      <c r="E37" s="16">
        <v>439</v>
      </c>
      <c r="F37" s="16">
        <v>379</v>
      </c>
      <c r="G37" s="16">
        <v>330</v>
      </c>
      <c r="H37" s="16">
        <v>290</v>
      </c>
      <c r="I37" s="16">
        <v>256</v>
      </c>
      <c r="J37" s="16">
        <v>228</v>
      </c>
      <c r="K37" s="16">
        <v>204</v>
      </c>
      <c r="L37" s="16">
        <v>184</v>
      </c>
      <c r="M37" s="16">
        <v>166</v>
      </c>
      <c r="N37" s="16">
        <v>149</v>
      </c>
      <c r="O37" s="16">
        <v>134</v>
      </c>
      <c r="P37" s="16">
        <v>119</v>
      </c>
      <c r="Q37" s="16">
        <v>104</v>
      </c>
      <c r="R37" s="16">
        <v>89</v>
      </c>
      <c r="S37" s="16">
        <v>74</v>
      </c>
      <c r="T37" s="16">
        <v>60</v>
      </c>
      <c r="U37" s="16">
        <v>47</v>
      </c>
      <c r="V37" s="16">
        <v>35</v>
      </c>
      <c r="W37" s="16">
        <v>25</v>
      </c>
    </row>
    <row r="38" spans="2:23" x14ac:dyDescent="0.2">
      <c r="B38" s="5">
        <v>35</v>
      </c>
      <c r="C38" s="16" t="s">
        <v>178</v>
      </c>
      <c r="D38" s="16">
        <v>275</v>
      </c>
      <c r="E38" s="16">
        <v>248</v>
      </c>
      <c r="F38" s="16">
        <v>224</v>
      </c>
      <c r="G38" s="16">
        <v>202</v>
      </c>
      <c r="H38" s="16">
        <v>183</v>
      </c>
      <c r="I38" s="16">
        <v>165</v>
      </c>
      <c r="J38" s="16">
        <v>150</v>
      </c>
      <c r="K38" s="16">
        <v>136</v>
      </c>
      <c r="L38" s="16">
        <v>123</v>
      </c>
      <c r="M38" s="16">
        <v>112</v>
      </c>
      <c r="N38" s="16">
        <v>102</v>
      </c>
      <c r="O38" s="16">
        <v>92</v>
      </c>
      <c r="P38" s="16">
        <v>83</v>
      </c>
      <c r="Q38" s="16">
        <v>75</v>
      </c>
      <c r="R38" s="16">
        <v>68</v>
      </c>
      <c r="S38" s="16">
        <v>60</v>
      </c>
      <c r="T38" s="16">
        <v>53</v>
      </c>
      <c r="U38" s="16">
        <v>47</v>
      </c>
      <c r="V38" s="16">
        <v>40</v>
      </c>
      <c r="W38" s="16">
        <v>34</v>
      </c>
    </row>
    <row r="39" spans="2:23" x14ac:dyDescent="0.2">
      <c r="B39" s="5">
        <v>36</v>
      </c>
      <c r="C39" s="16" t="s">
        <v>179</v>
      </c>
      <c r="D39" s="16">
        <v>220</v>
      </c>
      <c r="E39" s="16">
        <v>191</v>
      </c>
      <c r="F39" s="16">
        <v>167</v>
      </c>
      <c r="G39" s="16">
        <v>146</v>
      </c>
      <c r="H39" s="16">
        <v>129</v>
      </c>
      <c r="I39" s="16">
        <v>114</v>
      </c>
      <c r="J39" s="16">
        <v>101</v>
      </c>
      <c r="K39" s="16">
        <v>90</v>
      </c>
      <c r="L39" s="16">
        <v>81</v>
      </c>
      <c r="M39" s="16">
        <v>73</v>
      </c>
      <c r="N39" s="16">
        <v>66</v>
      </c>
      <c r="O39" s="16">
        <v>59</v>
      </c>
      <c r="P39" s="16">
        <v>53</v>
      </c>
      <c r="Q39" s="16">
        <v>48</v>
      </c>
      <c r="R39" s="16">
        <v>42</v>
      </c>
      <c r="S39" s="16">
        <v>37</v>
      </c>
      <c r="T39" s="16">
        <v>32</v>
      </c>
      <c r="U39" s="16">
        <v>28</v>
      </c>
      <c r="V39" s="16">
        <v>23</v>
      </c>
      <c r="W39" s="16">
        <v>19</v>
      </c>
    </row>
    <row r="40" spans="2:23" x14ac:dyDescent="0.2">
      <c r="B40" s="5">
        <v>37</v>
      </c>
      <c r="C40" s="16" t="s">
        <v>180</v>
      </c>
      <c r="D40" s="16">
        <v>755</v>
      </c>
      <c r="E40" s="16">
        <v>649</v>
      </c>
      <c r="F40" s="16">
        <v>563</v>
      </c>
      <c r="G40" s="16">
        <v>492</v>
      </c>
      <c r="H40" s="16">
        <v>434</v>
      </c>
      <c r="I40" s="16">
        <v>387</v>
      </c>
      <c r="J40" s="16">
        <v>348</v>
      </c>
      <c r="K40" s="16">
        <v>315</v>
      </c>
      <c r="L40" s="16">
        <v>286</v>
      </c>
      <c r="M40" s="16">
        <v>259</v>
      </c>
      <c r="N40" s="16">
        <v>235</v>
      </c>
      <c r="O40" s="16">
        <v>211</v>
      </c>
      <c r="P40" s="16">
        <v>187</v>
      </c>
      <c r="Q40" s="16">
        <v>162</v>
      </c>
      <c r="R40" s="16">
        <v>138</v>
      </c>
      <c r="S40" s="16">
        <v>114</v>
      </c>
      <c r="T40" s="16">
        <v>90</v>
      </c>
      <c r="U40" s="16">
        <v>69</v>
      </c>
      <c r="V40" s="16">
        <v>50</v>
      </c>
      <c r="W40" s="16">
        <v>34</v>
      </c>
    </row>
    <row r="41" spans="2:23" x14ac:dyDescent="0.2">
      <c r="B41" s="5">
        <v>38</v>
      </c>
      <c r="C41" s="16" t="s">
        <v>181</v>
      </c>
      <c r="D41" s="16">
        <v>631</v>
      </c>
      <c r="E41" s="16">
        <v>545</v>
      </c>
      <c r="F41" s="16">
        <v>473</v>
      </c>
      <c r="G41" s="16">
        <v>414</v>
      </c>
      <c r="H41" s="16">
        <v>366</v>
      </c>
      <c r="I41" s="16">
        <v>325</v>
      </c>
      <c r="J41" s="16">
        <v>291</v>
      </c>
      <c r="K41" s="16">
        <v>262</v>
      </c>
      <c r="L41" s="16">
        <v>236</v>
      </c>
      <c r="M41" s="16">
        <v>213</v>
      </c>
      <c r="N41" s="16">
        <v>191</v>
      </c>
      <c r="O41" s="16">
        <v>170</v>
      </c>
      <c r="P41" s="16">
        <v>150</v>
      </c>
      <c r="Q41" s="16">
        <v>129</v>
      </c>
      <c r="R41" s="16">
        <v>109</v>
      </c>
      <c r="S41" s="16">
        <v>89</v>
      </c>
      <c r="T41" s="16">
        <v>70</v>
      </c>
      <c r="U41" s="16">
        <v>52</v>
      </c>
      <c r="V41" s="16">
        <v>36</v>
      </c>
      <c r="W41" s="16">
        <v>22</v>
      </c>
    </row>
    <row r="42" spans="2:23" x14ac:dyDescent="0.2">
      <c r="B42" s="5">
        <v>39</v>
      </c>
      <c r="C42" s="16" t="s">
        <v>182</v>
      </c>
      <c r="D42" s="16">
        <v>656</v>
      </c>
      <c r="E42" s="16">
        <v>560</v>
      </c>
      <c r="F42" s="16">
        <v>481</v>
      </c>
      <c r="G42" s="16">
        <v>417</v>
      </c>
      <c r="H42" s="16">
        <v>363</v>
      </c>
      <c r="I42" s="16">
        <v>320</v>
      </c>
      <c r="J42" s="16">
        <v>284</v>
      </c>
      <c r="K42" s="16">
        <v>253</v>
      </c>
      <c r="L42" s="16">
        <v>227</v>
      </c>
      <c r="M42" s="16">
        <v>205</v>
      </c>
      <c r="N42" s="16">
        <v>184</v>
      </c>
      <c r="O42" s="16">
        <v>164</v>
      </c>
      <c r="P42" s="16">
        <v>145</v>
      </c>
      <c r="Q42" s="16">
        <v>126</v>
      </c>
      <c r="R42" s="16">
        <v>108</v>
      </c>
      <c r="S42" s="16">
        <v>90</v>
      </c>
      <c r="T42" s="16">
        <v>72</v>
      </c>
      <c r="U42" s="16">
        <v>55</v>
      </c>
      <c r="V42" s="16">
        <v>40</v>
      </c>
      <c r="W42" s="16">
        <v>28</v>
      </c>
    </row>
    <row r="43" spans="2:23" x14ac:dyDescent="0.2">
      <c r="B43" s="5">
        <v>40</v>
      </c>
      <c r="C43" s="16" t="s">
        <v>183</v>
      </c>
      <c r="D43" s="16">
        <v>631</v>
      </c>
      <c r="E43" s="16">
        <v>527</v>
      </c>
      <c r="F43" s="16">
        <v>442</v>
      </c>
      <c r="G43" s="16">
        <v>373</v>
      </c>
      <c r="H43" s="16">
        <v>318</v>
      </c>
      <c r="I43" s="16">
        <v>273</v>
      </c>
      <c r="J43" s="16">
        <v>237</v>
      </c>
      <c r="K43" s="16">
        <v>207</v>
      </c>
      <c r="L43" s="16">
        <v>183</v>
      </c>
      <c r="M43" s="16">
        <v>162</v>
      </c>
      <c r="N43" s="16">
        <v>144</v>
      </c>
      <c r="O43" s="16">
        <v>127</v>
      </c>
      <c r="P43" s="16">
        <v>111</v>
      </c>
      <c r="Q43" s="16">
        <v>95</v>
      </c>
      <c r="R43" s="16">
        <v>80</v>
      </c>
      <c r="S43" s="16">
        <v>64</v>
      </c>
      <c r="T43" s="16">
        <v>49</v>
      </c>
      <c r="U43" s="16">
        <v>35</v>
      </c>
      <c r="V43" s="16">
        <v>22</v>
      </c>
      <c r="W43" s="16">
        <v>11</v>
      </c>
    </row>
    <row r="44" spans="2:23" x14ac:dyDescent="0.2">
      <c r="B44" s="5">
        <v>41</v>
      </c>
      <c r="C44" s="16" t="s">
        <v>184</v>
      </c>
      <c r="D44" s="16">
        <v>517</v>
      </c>
      <c r="E44" s="16">
        <v>429</v>
      </c>
      <c r="F44" s="16">
        <v>357</v>
      </c>
      <c r="G44" s="16">
        <v>298</v>
      </c>
      <c r="H44" s="16">
        <v>252</v>
      </c>
      <c r="I44" s="16">
        <v>215</v>
      </c>
      <c r="J44" s="16">
        <v>185</v>
      </c>
      <c r="K44" s="16">
        <v>161</v>
      </c>
      <c r="L44" s="16">
        <v>142</v>
      </c>
      <c r="M44" s="16">
        <v>126</v>
      </c>
      <c r="N44" s="16">
        <v>111</v>
      </c>
      <c r="O44" s="16">
        <v>98</v>
      </c>
      <c r="P44" s="16">
        <v>86</v>
      </c>
      <c r="Q44" s="16">
        <v>73</v>
      </c>
      <c r="R44" s="16">
        <v>61</v>
      </c>
      <c r="S44" s="16">
        <v>49</v>
      </c>
      <c r="T44" s="16">
        <v>36</v>
      </c>
      <c r="U44" s="16">
        <v>25</v>
      </c>
      <c r="V44" s="16">
        <v>15</v>
      </c>
      <c r="W44" s="16">
        <v>7</v>
      </c>
    </row>
    <row r="45" spans="2:23" x14ac:dyDescent="0.2">
      <c r="B45" s="5">
        <v>42</v>
      </c>
      <c r="C45" s="16" t="s">
        <v>185</v>
      </c>
      <c r="D45" s="16">
        <v>437</v>
      </c>
      <c r="E45" s="16">
        <v>358</v>
      </c>
      <c r="F45" s="16">
        <v>293</v>
      </c>
      <c r="G45" s="16">
        <v>241</v>
      </c>
      <c r="H45" s="16">
        <v>200</v>
      </c>
      <c r="I45" s="16">
        <v>167</v>
      </c>
      <c r="J45" s="16">
        <v>141</v>
      </c>
      <c r="K45" s="16">
        <v>120</v>
      </c>
      <c r="L45" s="16">
        <v>104</v>
      </c>
      <c r="M45" s="16">
        <v>91</v>
      </c>
      <c r="N45" s="16">
        <v>79</v>
      </c>
      <c r="O45" s="16">
        <v>70</v>
      </c>
      <c r="P45" s="16">
        <v>60</v>
      </c>
      <c r="Q45" s="16">
        <v>52</v>
      </c>
      <c r="R45" s="16">
        <v>43</v>
      </c>
      <c r="S45" s="16">
        <v>34</v>
      </c>
      <c r="T45" s="16">
        <v>25</v>
      </c>
      <c r="U45" s="16">
        <v>17</v>
      </c>
      <c r="V45" s="16">
        <v>10</v>
      </c>
      <c r="W45" s="16">
        <v>4</v>
      </c>
    </row>
    <row r="46" spans="2:23" x14ac:dyDescent="0.2">
      <c r="B46" s="5">
        <v>43</v>
      </c>
      <c r="C46" s="16" t="s">
        <v>186</v>
      </c>
      <c r="D46" s="16">
        <v>596</v>
      </c>
      <c r="E46" s="16">
        <v>495</v>
      </c>
      <c r="F46" s="16">
        <v>412</v>
      </c>
      <c r="G46" s="16">
        <v>344</v>
      </c>
      <c r="H46" s="16">
        <v>289</v>
      </c>
      <c r="I46" s="16">
        <v>244</v>
      </c>
      <c r="J46" s="16">
        <v>208</v>
      </c>
      <c r="K46" s="16">
        <v>179</v>
      </c>
      <c r="L46" s="16">
        <v>155</v>
      </c>
      <c r="M46" s="16">
        <v>135</v>
      </c>
      <c r="N46" s="16">
        <v>118</v>
      </c>
      <c r="O46" s="16">
        <v>103</v>
      </c>
      <c r="P46" s="16">
        <v>90</v>
      </c>
      <c r="Q46" s="16">
        <v>77</v>
      </c>
      <c r="R46" s="16">
        <v>64</v>
      </c>
      <c r="S46" s="16">
        <v>51</v>
      </c>
      <c r="T46" s="16">
        <v>39</v>
      </c>
      <c r="U46" s="16">
        <v>27</v>
      </c>
      <c r="V46" s="16">
        <v>16</v>
      </c>
      <c r="W46" s="16">
        <v>7</v>
      </c>
    </row>
    <row r="47" spans="2:23" x14ac:dyDescent="0.2">
      <c r="B47" s="5">
        <v>44</v>
      </c>
      <c r="C47" s="16" t="s">
        <v>187</v>
      </c>
      <c r="D47" s="16">
        <v>490</v>
      </c>
      <c r="E47" s="16">
        <v>396</v>
      </c>
      <c r="F47" s="16">
        <v>320</v>
      </c>
      <c r="G47" s="16">
        <v>259</v>
      </c>
      <c r="H47" s="16">
        <v>211</v>
      </c>
      <c r="I47" s="16">
        <v>173</v>
      </c>
      <c r="J47" s="16">
        <v>144</v>
      </c>
      <c r="K47" s="16">
        <v>122</v>
      </c>
      <c r="L47" s="16">
        <v>105</v>
      </c>
      <c r="M47" s="16">
        <v>91</v>
      </c>
      <c r="N47" s="16">
        <v>80</v>
      </c>
      <c r="O47" s="16">
        <v>70</v>
      </c>
      <c r="P47" s="16">
        <v>61</v>
      </c>
      <c r="Q47" s="16">
        <v>52</v>
      </c>
      <c r="R47" s="16">
        <v>43</v>
      </c>
      <c r="S47" s="16">
        <v>34</v>
      </c>
      <c r="T47" s="16">
        <v>25</v>
      </c>
      <c r="U47" s="16">
        <v>17</v>
      </c>
      <c r="V47" s="16">
        <v>9</v>
      </c>
      <c r="W47" s="16">
        <v>3</v>
      </c>
    </row>
    <row r="48" spans="2:23" x14ac:dyDescent="0.2">
      <c r="B48" s="5">
        <v>45</v>
      </c>
      <c r="C48" s="16" t="s">
        <v>188</v>
      </c>
      <c r="D48" s="16">
        <v>552</v>
      </c>
      <c r="E48" s="16">
        <v>446</v>
      </c>
      <c r="F48" s="16">
        <v>362</v>
      </c>
      <c r="G48" s="16">
        <v>295</v>
      </c>
      <c r="H48" s="16">
        <v>243</v>
      </c>
      <c r="I48" s="16">
        <v>203</v>
      </c>
      <c r="J48" s="16">
        <v>172</v>
      </c>
      <c r="K48" s="16">
        <v>148</v>
      </c>
      <c r="L48" s="16">
        <v>130</v>
      </c>
      <c r="M48" s="16">
        <v>115</v>
      </c>
      <c r="N48" s="16">
        <v>102</v>
      </c>
      <c r="O48" s="16">
        <v>90</v>
      </c>
      <c r="P48" s="16">
        <v>79</v>
      </c>
      <c r="Q48" s="16">
        <v>67</v>
      </c>
      <c r="R48" s="16">
        <v>55</v>
      </c>
      <c r="S48" s="16">
        <v>43</v>
      </c>
      <c r="T48" s="16">
        <v>31</v>
      </c>
      <c r="U48" s="16">
        <v>20</v>
      </c>
      <c r="V48" s="16">
        <v>10</v>
      </c>
      <c r="W48" s="16">
        <v>3</v>
      </c>
    </row>
    <row r="49" spans="2:23" x14ac:dyDescent="0.2">
      <c r="B49" s="5">
        <v>46</v>
      </c>
      <c r="C49" s="16" t="s">
        <v>189</v>
      </c>
      <c r="D49" s="16">
        <v>580</v>
      </c>
      <c r="E49" s="16">
        <v>469</v>
      </c>
      <c r="F49" s="16">
        <v>379</v>
      </c>
      <c r="G49" s="16">
        <v>308</v>
      </c>
      <c r="H49" s="16">
        <v>253</v>
      </c>
      <c r="I49" s="16">
        <v>210</v>
      </c>
      <c r="J49" s="16">
        <v>176</v>
      </c>
      <c r="K49" s="16">
        <v>151</v>
      </c>
      <c r="L49" s="16">
        <v>131</v>
      </c>
      <c r="M49" s="16">
        <v>115</v>
      </c>
      <c r="N49" s="16">
        <v>101</v>
      </c>
      <c r="O49" s="16">
        <v>89</v>
      </c>
      <c r="P49" s="16">
        <v>78</v>
      </c>
      <c r="Q49" s="16">
        <v>67</v>
      </c>
      <c r="R49" s="16">
        <v>55</v>
      </c>
      <c r="S49" s="16">
        <v>44</v>
      </c>
      <c r="T49" s="16">
        <v>32</v>
      </c>
      <c r="U49" s="16">
        <v>21</v>
      </c>
      <c r="V49" s="16">
        <v>11</v>
      </c>
      <c r="W49" s="16">
        <v>4</v>
      </c>
    </row>
    <row r="50" spans="2:23" x14ac:dyDescent="0.2">
      <c r="B50" s="5">
        <v>47</v>
      </c>
      <c r="C50" s="16" t="s">
        <v>190</v>
      </c>
      <c r="D50" s="16">
        <v>595</v>
      </c>
      <c r="E50" s="16">
        <v>485</v>
      </c>
      <c r="F50" s="16">
        <v>397</v>
      </c>
      <c r="G50" s="16">
        <v>325</v>
      </c>
      <c r="H50" s="16">
        <v>269</v>
      </c>
      <c r="I50" s="16">
        <v>224</v>
      </c>
      <c r="J50" s="16">
        <v>189</v>
      </c>
      <c r="K50" s="16">
        <v>161</v>
      </c>
      <c r="L50" s="16">
        <v>140</v>
      </c>
      <c r="M50" s="16">
        <v>122</v>
      </c>
      <c r="N50" s="16">
        <v>107</v>
      </c>
      <c r="O50" s="16">
        <v>94</v>
      </c>
      <c r="P50" s="16">
        <v>82</v>
      </c>
      <c r="Q50" s="16">
        <v>70</v>
      </c>
      <c r="R50" s="16">
        <v>58</v>
      </c>
      <c r="S50" s="16">
        <v>46</v>
      </c>
      <c r="T50" s="16">
        <v>34</v>
      </c>
      <c r="U50" s="16">
        <v>22</v>
      </c>
      <c r="V50" s="16">
        <v>12</v>
      </c>
      <c r="W50" s="16">
        <v>4</v>
      </c>
    </row>
    <row r="51" spans="2:23" x14ac:dyDescent="0.2">
      <c r="B51" s="5">
        <v>48</v>
      </c>
      <c r="C51" s="16" t="s">
        <v>191</v>
      </c>
      <c r="D51" s="16">
        <v>627</v>
      </c>
      <c r="E51" s="16">
        <v>513</v>
      </c>
      <c r="F51" s="16">
        <v>421</v>
      </c>
      <c r="G51" s="16">
        <v>347</v>
      </c>
      <c r="H51" s="16">
        <v>288</v>
      </c>
      <c r="I51" s="16">
        <v>241</v>
      </c>
      <c r="J51" s="16">
        <v>205</v>
      </c>
      <c r="K51" s="16">
        <v>176</v>
      </c>
      <c r="L51" s="16">
        <v>153</v>
      </c>
      <c r="M51" s="16">
        <v>134</v>
      </c>
      <c r="N51" s="16">
        <v>118</v>
      </c>
      <c r="O51" s="16">
        <v>103</v>
      </c>
      <c r="P51" s="16">
        <v>90</v>
      </c>
      <c r="Q51" s="16">
        <v>76</v>
      </c>
      <c r="R51" s="16">
        <v>63</v>
      </c>
      <c r="S51" s="16">
        <v>49</v>
      </c>
      <c r="T51" s="16">
        <v>36</v>
      </c>
      <c r="U51" s="16">
        <v>23</v>
      </c>
      <c r="V51" s="16">
        <v>12</v>
      </c>
      <c r="W51" s="16">
        <v>3</v>
      </c>
    </row>
    <row r="52" spans="2:23" x14ac:dyDescent="0.2">
      <c r="B52" s="5">
        <v>49</v>
      </c>
      <c r="C52" s="16" t="s">
        <v>192</v>
      </c>
      <c r="D52" s="16">
        <v>664</v>
      </c>
      <c r="E52" s="16">
        <v>537</v>
      </c>
      <c r="F52" s="16">
        <v>436</v>
      </c>
      <c r="G52" s="16">
        <v>354</v>
      </c>
      <c r="H52" s="16">
        <v>290</v>
      </c>
      <c r="I52" s="16">
        <v>241</v>
      </c>
      <c r="J52" s="16">
        <v>202</v>
      </c>
      <c r="K52" s="16">
        <v>172</v>
      </c>
      <c r="L52" s="16">
        <v>149</v>
      </c>
      <c r="M52" s="16">
        <v>130</v>
      </c>
      <c r="N52" s="16">
        <v>114</v>
      </c>
      <c r="O52" s="16">
        <v>100</v>
      </c>
      <c r="P52" s="16">
        <v>87</v>
      </c>
      <c r="Q52" s="16">
        <v>74</v>
      </c>
      <c r="R52" s="16">
        <v>61</v>
      </c>
      <c r="S52" s="16">
        <v>48</v>
      </c>
      <c r="T52" s="16">
        <v>34</v>
      </c>
      <c r="U52" s="16">
        <v>22</v>
      </c>
      <c r="V52" s="16">
        <v>11</v>
      </c>
      <c r="W52" s="16">
        <v>2</v>
      </c>
    </row>
    <row r="53" spans="2:23" x14ac:dyDescent="0.2">
      <c r="B53" s="5">
        <v>50</v>
      </c>
      <c r="C53" s="16" t="s">
        <v>193</v>
      </c>
      <c r="D53" s="16">
        <v>485</v>
      </c>
      <c r="E53" s="16">
        <v>391</v>
      </c>
      <c r="F53" s="16">
        <v>315</v>
      </c>
      <c r="G53" s="16">
        <v>256</v>
      </c>
      <c r="H53" s="16">
        <v>210</v>
      </c>
      <c r="I53" s="16">
        <v>174</v>
      </c>
      <c r="J53" s="16">
        <v>147</v>
      </c>
      <c r="K53" s="16">
        <v>126</v>
      </c>
      <c r="L53" s="16">
        <v>110</v>
      </c>
      <c r="M53" s="16">
        <v>98</v>
      </c>
      <c r="N53" s="16">
        <v>87</v>
      </c>
      <c r="O53" s="16">
        <v>78</v>
      </c>
      <c r="P53" s="16">
        <v>69</v>
      </c>
      <c r="Q53" s="16">
        <v>60</v>
      </c>
      <c r="R53" s="16">
        <v>50</v>
      </c>
      <c r="S53" s="16">
        <v>41</v>
      </c>
      <c r="T53" s="16">
        <v>31</v>
      </c>
      <c r="U53" s="16">
        <v>22</v>
      </c>
      <c r="V53" s="16">
        <v>14</v>
      </c>
      <c r="W53" s="16">
        <v>8</v>
      </c>
    </row>
    <row r="54" spans="2:23" x14ac:dyDescent="0.2">
      <c r="B54" s="5">
        <v>51</v>
      </c>
      <c r="C54" s="16" t="s">
        <v>194</v>
      </c>
      <c r="D54" s="16">
        <v>498</v>
      </c>
      <c r="E54" s="16">
        <v>401</v>
      </c>
      <c r="F54" s="16">
        <v>324</v>
      </c>
      <c r="G54" s="16">
        <v>262</v>
      </c>
      <c r="H54" s="16">
        <v>213</v>
      </c>
      <c r="I54" s="16">
        <v>175</v>
      </c>
      <c r="J54" s="16">
        <v>146</v>
      </c>
      <c r="K54" s="16">
        <v>124</v>
      </c>
      <c r="L54" s="16">
        <v>107</v>
      </c>
      <c r="M54" s="16">
        <v>93</v>
      </c>
      <c r="N54" s="16">
        <v>82</v>
      </c>
      <c r="O54" s="16">
        <v>72</v>
      </c>
      <c r="P54" s="16">
        <v>63</v>
      </c>
      <c r="Q54" s="16">
        <v>53</v>
      </c>
      <c r="R54" s="16">
        <v>44</v>
      </c>
      <c r="S54" s="16">
        <v>35</v>
      </c>
      <c r="T54" s="16">
        <v>25</v>
      </c>
      <c r="U54" s="16">
        <v>16</v>
      </c>
      <c r="V54" s="16">
        <v>8</v>
      </c>
      <c r="W54" s="16">
        <v>2</v>
      </c>
    </row>
    <row r="55" spans="2:23" x14ac:dyDescent="0.2">
      <c r="B55" s="5">
        <v>52</v>
      </c>
      <c r="C55" s="16" t="s">
        <v>195</v>
      </c>
      <c r="D55" s="16">
        <v>284</v>
      </c>
      <c r="E55" s="16">
        <v>231</v>
      </c>
      <c r="F55" s="16">
        <v>187</v>
      </c>
      <c r="G55" s="16">
        <v>152</v>
      </c>
      <c r="H55" s="16">
        <v>124</v>
      </c>
      <c r="I55" s="16">
        <v>102</v>
      </c>
      <c r="J55" s="16">
        <v>84</v>
      </c>
      <c r="K55" s="16">
        <v>71</v>
      </c>
      <c r="L55" s="16">
        <v>60</v>
      </c>
      <c r="M55" s="16">
        <v>51</v>
      </c>
      <c r="N55" s="16">
        <v>45</v>
      </c>
      <c r="O55" s="16">
        <v>39</v>
      </c>
      <c r="P55" s="16">
        <v>34</v>
      </c>
      <c r="Q55" s="16">
        <v>29</v>
      </c>
      <c r="R55" s="16">
        <v>25</v>
      </c>
      <c r="S55" s="16">
        <v>20</v>
      </c>
      <c r="T55" s="16">
        <v>15</v>
      </c>
      <c r="U55" s="16">
        <v>11</v>
      </c>
      <c r="V55" s="16">
        <v>7</v>
      </c>
      <c r="W55" s="16">
        <v>3</v>
      </c>
    </row>
    <row r="56" spans="2:23" x14ac:dyDescent="0.2">
      <c r="B56" s="5">
        <v>53</v>
      </c>
      <c r="C56" s="16" t="s">
        <v>196</v>
      </c>
      <c r="D56" s="16">
        <v>499</v>
      </c>
      <c r="E56" s="16">
        <v>406</v>
      </c>
      <c r="F56" s="16">
        <v>331</v>
      </c>
      <c r="G56" s="16">
        <v>271</v>
      </c>
      <c r="H56" s="16">
        <v>223</v>
      </c>
      <c r="I56" s="16">
        <v>186</v>
      </c>
      <c r="J56" s="16">
        <v>157</v>
      </c>
      <c r="K56" s="16">
        <v>134</v>
      </c>
      <c r="L56" s="16">
        <v>116</v>
      </c>
      <c r="M56" s="16">
        <v>101</v>
      </c>
      <c r="N56" s="16">
        <v>89</v>
      </c>
      <c r="O56" s="16">
        <v>78</v>
      </c>
      <c r="P56" s="16">
        <v>68</v>
      </c>
      <c r="Q56" s="16">
        <v>58</v>
      </c>
      <c r="R56" s="16">
        <v>47</v>
      </c>
      <c r="S56" s="16">
        <v>37</v>
      </c>
      <c r="T56" s="16">
        <v>27</v>
      </c>
      <c r="U56" s="16">
        <v>17</v>
      </c>
      <c r="V56" s="16">
        <v>9</v>
      </c>
      <c r="W56" s="16">
        <v>2</v>
      </c>
    </row>
    <row r="57" spans="2:23" x14ac:dyDescent="0.2">
      <c r="B57" s="5">
        <v>54</v>
      </c>
      <c r="C57" s="16" t="s">
        <v>197</v>
      </c>
      <c r="D57" s="16">
        <v>412</v>
      </c>
      <c r="E57" s="16">
        <v>332</v>
      </c>
      <c r="F57" s="16">
        <v>269</v>
      </c>
      <c r="G57" s="16">
        <v>218</v>
      </c>
      <c r="H57" s="16">
        <v>179</v>
      </c>
      <c r="I57" s="16">
        <v>148</v>
      </c>
      <c r="J57" s="16">
        <v>125</v>
      </c>
      <c r="K57" s="16">
        <v>107</v>
      </c>
      <c r="L57" s="16">
        <v>93</v>
      </c>
      <c r="M57" s="16">
        <v>82</v>
      </c>
      <c r="N57" s="16">
        <v>73</v>
      </c>
      <c r="O57" s="16">
        <v>65</v>
      </c>
      <c r="P57" s="16">
        <v>57</v>
      </c>
      <c r="Q57" s="16">
        <v>49</v>
      </c>
      <c r="R57" s="16">
        <v>41</v>
      </c>
      <c r="S57" s="16">
        <v>33</v>
      </c>
      <c r="T57" s="16">
        <v>25</v>
      </c>
      <c r="U57" s="16">
        <v>17</v>
      </c>
      <c r="V57" s="16">
        <v>10</v>
      </c>
      <c r="W57" s="16">
        <v>5</v>
      </c>
    </row>
    <row r="58" spans="2:23" x14ac:dyDescent="0.2">
      <c r="B58" s="17">
        <v>55</v>
      </c>
      <c r="C58" s="16" t="s">
        <v>198</v>
      </c>
      <c r="D58" s="16">
        <v>430</v>
      </c>
      <c r="E58" s="16">
        <v>351</v>
      </c>
      <c r="F58" s="16">
        <v>286</v>
      </c>
      <c r="G58" s="16">
        <v>233</v>
      </c>
      <c r="H58" s="16">
        <v>191</v>
      </c>
      <c r="I58" s="16">
        <v>158</v>
      </c>
      <c r="J58" s="16">
        <v>132</v>
      </c>
      <c r="K58" s="16">
        <v>111</v>
      </c>
      <c r="L58" s="16">
        <v>95</v>
      </c>
      <c r="M58" s="16">
        <v>82</v>
      </c>
      <c r="N58" s="16">
        <v>71</v>
      </c>
      <c r="O58" s="16">
        <v>62</v>
      </c>
      <c r="P58" s="16">
        <v>54</v>
      </c>
      <c r="Q58" s="16">
        <v>46</v>
      </c>
      <c r="R58" s="16">
        <v>38</v>
      </c>
      <c r="S58" s="16">
        <v>30</v>
      </c>
      <c r="T58" s="16">
        <v>22</v>
      </c>
      <c r="U58" s="16">
        <v>14</v>
      </c>
      <c r="V58" s="16">
        <v>7</v>
      </c>
      <c r="W58" s="16">
        <v>1</v>
      </c>
    </row>
    <row r="59" spans="2:23" x14ac:dyDescent="0.2">
      <c r="B59" s="17">
        <v>56</v>
      </c>
      <c r="C59" s="16" t="s">
        <v>199</v>
      </c>
      <c r="D59" s="16">
        <v>352</v>
      </c>
      <c r="E59" s="16">
        <v>284</v>
      </c>
      <c r="F59" s="16">
        <v>230</v>
      </c>
      <c r="G59" s="16">
        <v>186</v>
      </c>
      <c r="H59" s="16">
        <v>151</v>
      </c>
      <c r="I59" s="16">
        <v>125</v>
      </c>
      <c r="J59" s="16">
        <v>104</v>
      </c>
      <c r="K59" s="16">
        <v>88</v>
      </c>
      <c r="L59" s="16">
        <v>75</v>
      </c>
      <c r="M59" s="16">
        <v>66</v>
      </c>
      <c r="N59" s="16">
        <v>58</v>
      </c>
      <c r="O59" s="16">
        <v>51</v>
      </c>
      <c r="P59" s="16">
        <v>45</v>
      </c>
      <c r="Q59" s="16">
        <v>39</v>
      </c>
      <c r="R59" s="16">
        <v>32</v>
      </c>
      <c r="S59" s="16">
        <v>26</v>
      </c>
      <c r="T59" s="16">
        <v>20</v>
      </c>
      <c r="U59" s="16">
        <v>14</v>
      </c>
      <c r="V59" s="16">
        <v>9</v>
      </c>
      <c r="W59" s="16">
        <v>5</v>
      </c>
    </row>
    <row r="60" spans="2:23" x14ac:dyDescent="0.2">
      <c r="B60" s="17">
        <v>57</v>
      </c>
      <c r="C60" s="16" t="s">
        <v>200</v>
      </c>
      <c r="D60" s="16">
        <v>687</v>
      </c>
      <c r="E60" s="16">
        <v>565</v>
      </c>
      <c r="F60" s="16">
        <v>465</v>
      </c>
      <c r="G60" s="16">
        <v>384</v>
      </c>
      <c r="H60" s="16">
        <v>318</v>
      </c>
      <c r="I60" s="16">
        <v>266</v>
      </c>
      <c r="J60" s="16">
        <v>224</v>
      </c>
      <c r="K60" s="16">
        <v>191</v>
      </c>
      <c r="L60" s="16">
        <v>164</v>
      </c>
      <c r="M60" s="16">
        <v>143</v>
      </c>
      <c r="N60" s="16">
        <v>124</v>
      </c>
      <c r="O60" s="16">
        <v>108</v>
      </c>
      <c r="P60" s="16">
        <v>93</v>
      </c>
      <c r="Q60" s="16">
        <v>79</v>
      </c>
      <c r="R60" s="16">
        <v>65</v>
      </c>
      <c r="S60" s="16">
        <v>51</v>
      </c>
      <c r="T60" s="16">
        <v>38</v>
      </c>
      <c r="U60" s="16">
        <v>24</v>
      </c>
      <c r="V60" s="16">
        <v>12</v>
      </c>
      <c r="W60" s="16">
        <v>2</v>
      </c>
    </row>
    <row r="61" spans="2:23" x14ac:dyDescent="0.2">
      <c r="B61" s="17">
        <v>58</v>
      </c>
      <c r="C61" s="16" t="s">
        <v>201</v>
      </c>
      <c r="D61" s="16">
        <v>558</v>
      </c>
      <c r="E61" s="16">
        <v>457</v>
      </c>
      <c r="F61" s="16">
        <v>374</v>
      </c>
      <c r="G61" s="16">
        <v>307</v>
      </c>
      <c r="H61" s="16">
        <v>253</v>
      </c>
      <c r="I61" s="16">
        <v>210</v>
      </c>
      <c r="J61" s="16">
        <v>176</v>
      </c>
      <c r="K61" s="16">
        <v>149</v>
      </c>
      <c r="L61" s="16">
        <v>127</v>
      </c>
      <c r="M61" s="16">
        <v>110</v>
      </c>
      <c r="N61" s="16">
        <v>95</v>
      </c>
      <c r="O61" s="16">
        <v>83</v>
      </c>
      <c r="P61" s="16">
        <v>71</v>
      </c>
      <c r="Q61" s="16">
        <v>60</v>
      </c>
      <c r="R61" s="16">
        <v>50</v>
      </c>
      <c r="S61" s="16">
        <v>39</v>
      </c>
      <c r="T61" s="16">
        <v>29</v>
      </c>
      <c r="U61" s="16">
        <v>19</v>
      </c>
      <c r="V61" s="16">
        <v>9</v>
      </c>
      <c r="W61" s="16">
        <v>1</v>
      </c>
    </row>
    <row r="62" spans="2:23" x14ac:dyDescent="0.2">
      <c r="B62" s="17">
        <v>59</v>
      </c>
      <c r="C62" s="16" t="s">
        <v>202</v>
      </c>
      <c r="D62" s="16">
        <v>1173</v>
      </c>
      <c r="E62" s="16">
        <v>987</v>
      </c>
      <c r="F62" s="16">
        <v>833</v>
      </c>
      <c r="G62" s="16">
        <v>706</v>
      </c>
      <c r="H62" s="16">
        <v>603</v>
      </c>
      <c r="I62" s="16">
        <v>518</v>
      </c>
      <c r="J62" s="16">
        <v>448</v>
      </c>
      <c r="K62" s="16">
        <v>391</v>
      </c>
      <c r="L62" s="16">
        <v>342</v>
      </c>
      <c r="M62" s="16">
        <v>301</v>
      </c>
      <c r="N62" s="16">
        <v>264</v>
      </c>
      <c r="O62" s="16">
        <v>230</v>
      </c>
      <c r="P62" s="16">
        <v>198</v>
      </c>
      <c r="Q62" s="16">
        <v>166</v>
      </c>
      <c r="R62" s="16">
        <v>136</v>
      </c>
      <c r="S62" s="16">
        <v>105</v>
      </c>
      <c r="T62" s="16">
        <v>76</v>
      </c>
      <c r="U62" s="16">
        <v>48</v>
      </c>
      <c r="V62" s="16">
        <v>22</v>
      </c>
      <c r="W62" s="16">
        <v>1</v>
      </c>
    </row>
    <row r="63" spans="2:23" x14ac:dyDescent="0.2">
      <c r="B63" s="17">
        <v>60</v>
      </c>
      <c r="C63" s="16" t="s">
        <v>203</v>
      </c>
      <c r="D63" s="16">
        <v>797</v>
      </c>
      <c r="E63" s="16">
        <v>663</v>
      </c>
      <c r="F63" s="16">
        <v>552</v>
      </c>
      <c r="G63" s="16">
        <v>462</v>
      </c>
      <c r="H63" s="16">
        <v>388</v>
      </c>
      <c r="I63" s="16">
        <v>328</v>
      </c>
      <c r="J63" s="16">
        <v>280</v>
      </c>
      <c r="K63" s="16">
        <v>241</v>
      </c>
      <c r="L63" s="16">
        <v>209</v>
      </c>
      <c r="M63" s="16">
        <v>182</v>
      </c>
      <c r="N63" s="16">
        <v>158</v>
      </c>
      <c r="O63" s="16">
        <v>138</v>
      </c>
      <c r="P63" s="16">
        <v>118</v>
      </c>
      <c r="Q63" s="16">
        <v>100</v>
      </c>
      <c r="R63" s="16">
        <v>82</v>
      </c>
      <c r="S63" s="16">
        <v>64</v>
      </c>
      <c r="T63" s="16">
        <v>47</v>
      </c>
      <c r="U63" s="16">
        <v>30</v>
      </c>
      <c r="V63" s="16">
        <v>15</v>
      </c>
      <c r="W63" s="16">
        <v>2</v>
      </c>
    </row>
    <row r="64" spans="2:23" x14ac:dyDescent="0.2">
      <c r="B64" s="17">
        <v>61</v>
      </c>
      <c r="C64" s="16" t="s">
        <v>204</v>
      </c>
      <c r="D64" s="16">
        <v>849</v>
      </c>
      <c r="E64" s="16">
        <v>702</v>
      </c>
      <c r="F64" s="16">
        <v>582</v>
      </c>
      <c r="G64" s="16">
        <v>484</v>
      </c>
      <c r="H64" s="16">
        <v>405</v>
      </c>
      <c r="I64" s="16">
        <v>341</v>
      </c>
      <c r="J64" s="16">
        <v>290</v>
      </c>
      <c r="K64" s="16">
        <v>250</v>
      </c>
      <c r="L64" s="16">
        <v>216</v>
      </c>
      <c r="M64" s="16">
        <v>189</v>
      </c>
      <c r="N64" s="16">
        <v>165</v>
      </c>
      <c r="O64" s="16">
        <v>144</v>
      </c>
      <c r="P64" s="16">
        <v>124</v>
      </c>
      <c r="Q64" s="16">
        <v>105</v>
      </c>
      <c r="R64" s="16">
        <v>86</v>
      </c>
      <c r="S64" s="16">
        <v>67</v>
      </c>
      <c r="T64" s="16">
        <v>48</v>
      </c>
      <c r="U64" s="16">
        <v>31</v>
      </c>
      <c r="V64" s="16">
        <v>15</v>
      </c>
      <c r="W64" s="16">
        <v>1</v>
      </c>
    </row>
    <row r="65" spans="2:23" x14ac:dyDescent="0.2">
      <c r="B65" s="17">
        <v>62</v>
      </c>
      <c r="C65" s="16" t="s">
        <v>205</v>
      </c>
      <c r="D65" s="16">
        <v>742</v>
      </c>
      <c r="E65" s="16">
        <v>615</v>
      </c>
      <c r="F65" s="16">
        <v>511</v>
      </c>
      <c r="G65" s="16">
        <v>426</v>
      </c>
      <c r="H65" s="16">
        <v>357</v>
      </c>
      <c r="I65" s="16">
        <v>301</v>
      </c>
      <c r="J65" s="16">
        <v>256</v>
      </c>
      <c r="K65" s="16">
        <v>220</v>
      </c>
      <c r="L65" s="16">
        <v>190</v>
      </c>
      <c r="M65" s="16">
        <v>165</v>
      </c>
      <c r="N65" s="16">
        <v>144</v>
      </c>
      <c r="O65" s="16">
        <v>125</v>
      </c>
      <c r="P65" s="16">
        <v>108</v>
      </c>
      <c r="Q65" s="16">
        <v>91</v>
      </c>
      <c r="R65" s="16">
        <v>75</v>
      </c>
      <c r="S65" s="16">
        <v>58</v>
      </c>
      <c r="T65" s="16">
        <v>43</v>
      </c>
      <c r="U65" s="16">
        <v>27</v>
      </c>
      <c r="V65" s="16">
        <v>13</v>
      </c>
      <c r="W65" s="16">
        <v>1</v>
      </c>
    </row>
    <row r="66" spans="2:23" x14ac:dyDescent="0.2">
      <c r="B66" s="17">
        <v>63</v>
      </c>
      <c r="C66" s="16" t="s">
        <v>206</v>
      </c>
      <c r="D66" s="16">
        <v>867</v>
      </c>
      <c r="E66" s="16">
        <v>716</v>
      </c>
      <c r="F66" s="16">
        <v>593</v>
      </c>
      <c r="G66" s="16">
        <v>493</v>
      </c>
      <c r="H66" s="16">
        <v>413</v>
      </c>
      <c r="I66" s="16">
        <v>349</v>
      </c>
      <c r="J66" s="16">
        <v>298</v>
      </c>
      <c r="K66" s="16">
        <v>258</v>
      </c>
      <c r="L66" s="16">
        <v>224</v>
      </c>
      <c r="M66" s="16">
        <v>197</v>
      </c>
      <c r="N66" s="16">
        <v>173</v>
      </c>
      <c r="O66" s="16">
        <v>151</v>
      </c>
      <c r="P66" s="16">
        <v>130</v>
      </c>
      <c r="Q66" s="16">
        <v>110</v>
      </c>
      <c r="R66" s="16">
        <v>90</v>
      </c>
      <c r="S66" s="16">
        <v>70</v>
      </c>
      <c r="T66" s="16">
        <v>51</v>
      </c>
      <c r="U66" s="16">
        <v>32</v>
      </c>
      <c r="V66" s="16">
        <v>15</v>
      </c>
      <c r="W66" s="16">
        <v>2</v>
      </c>
    </row>
    <row r="67" spans="2:23" x14ac:dyDescent="0.2">
      <c r="B67" s="17">
        <v>64</v>
      </c>
      <c r="C67" s="16" t="s">
        <v>207</v>
      </c>
      <c r="D67" s="16">
        <v>708</v>
      </c>
      <c r="E67" s="16">
        <v>593</v>
      </c>
      <c r="F67" s="16">
        <v>497</v>
      </c>
      <c r="G67" s="16">
        <v>418</v>
      </c>
      <c r="H67" s="16">
        <v>353</v>
      </c>
      <c r="I67" s="16">
        <v>301</v>
      </c>
      <c r="J67" s="16">
        <v>257</v>
      </c>
      <c r="K67" s="16">
        <v>222</v>
      </c>
      <c r="L67" s="16">
        <v>193</v>
      </c>
      <c r="M67" s="16">
        <v>168</v>
      </c>
      <c r="N67" s="16">
        <v>146</v>
      </c>
      <c r="O67" s="16">
        <v>127</v>
      </c>
      <c r="P67" s="16">
        <v>109</v>
      </c>
      <c r="Q67" s="16">
        <v>92</v>
      </c>
      <c r="R67" s="16">
        <v>76</v>
      </c>
      <c r="S67" s="16">
        <v>59</v>
      </c>
      <c r="T67" s="16">
        <v>43</v>
      </c>
      <c r="U67" s="16">
        <v>28</v>
      </c>
      <c r="V67" s="16">
        <v>14</v>
      </c>
      <c r="W67" s="16">
        <v>2</v>
      </c>
    </row>
    <row r="68" spans="2:23" x14ac:dyDescent="0.2">
      <c r="B68" s="17">
        <v>65</v>
      </c>
      <c r="C68" s="16" t="s">
        <v>208</v>
      </c>
      <c r="D68" s="16">
        <v>1156</v>
      </c>
      <c r="E68" s="16">
        <v>964</v>
      </c>
      <c r="F68" s="16">
        <v>807</v>
      </c>
      <c r="G68" s="16">
        <v>679</v>
      </c>
      <c r="H68" s="16">
        <v>575</v>
      </c>
      <c r="I68" s="16">
        <v>492</v>
      </c>
      <c r="J68" s="16">
        <v>424</v>
      </c>
      <c r="K68" s="16">
        <v>369</v>
      </c>
      <c r="L68" s="16">
        <v>324</v>
      </c>
      <c r="M68" s="16">
        <v>285</v>
      </c>
      <c r="N68" s="16">
        <v>250</v>
      </c>
      <c r="O68" s="16">
        <v>219</v>
      </c>
      <c r="P68" s="16">
        <v>189</v>
      </c>
      <c r="Q68" s="16">
        <v>159</v>
      </c>
      <c r="R68" s="16">
        <v>130</v>
      </c>
      <c r="S68" s="16">
        <v>101</v>
      </c>
      <c r="T68" s="16">
        <v>72</v>
      </c>
      <c r="U68" s="16">
        <v>46</v>
      </c>
      <c r="V68" s="16">
        <v>22</v>
      </c>
      <c r="W68" s="16">
        <v>2</v>
      </c>
    </row>
    <row r="69" spans="2:23" x14ac:dyDescent="0.2">
      <c r="B69" s="17">
        <v>66</v>
      </c>
      <c r="C69" s="16" t="s">
        <v>209</v>
      </c>
      <c r="D69" s="16">
        <v>1045</v>
      </c>
      <c r="E69" s="16">
        <v>874</v>
      </c>
      <c r="F69" s="16">
        <v>734</v>
      </c>
      <c r="G69" s="16">
        <v>618</v>
      </c>
      <c r="H69" s="16">
        <v>525</v>
      </c>
      <c r="I69" s="16">
        <v>448</v>
      </c>
      <c r="J69" s="16">
        <v>386</v>
      </c>
      <c r="K69" s="16">
        <v>335</v>
      </c>
      <c r="L69" s="16">
        <v>293</v>
      </c>
      <c r="M69" s="16">
        <v>257</v>
      </c>
      <c r="N69" s="16">
        <v>225</v>
      </c>
      <c r="O69" s="16">
        <v>197</v>
      </c>
      <c r="P69" s="16">
        <v>169</v>
      </c>
      <c r="Q69" s="16">
        <v>143</v>
      </c>
      <c r="R69" s="16">
        <v>117</v>
      </c>
      <c r="S69" s="16">
        <v>91</v>
      </c>
      <c r="T69" s="16">
        <v>66</v>
      </c>
      <c r="U69" s="16">
        <v>42</v>
      </c>
      <c r="V69" s="16">
        <v>20</v>
      </c>
      <c r="W69" s="16">
        <v>2</v>
      </c>
    </row>
    <row r="70" spans="2:23" x14ac:dyDescent="0.2">
      <c r="B70" s="17">
        <v>67</v>
      </c>
      <c r="C70" s="16" t="s">
        <v>210</v>
      </c>
      <c r="D70" s="16">
        <v>668</v>
      </c>
      <c r="E70" s="16">
        <v>554</v>
      </c>
      <c r="F70" s="16">
        <v>460</v>
      </c>
      <c r="G70" s="16">
        <v>384</v>
      </c>
      <c r="H70" s="16">
        <v>322</v>
      </c>
      <c r="I70" s="16">
        <v>273</v>
      </c>
      <c r="J70" s="16">
        <v>233</v>
      </c>
      <c r="K70" s="16">
        <v>201</v>
      </c>
      <c r="L70" s="16">
        <v>175</v>
      </c>
      <c r="M70" s="16">
        <v>153</v>
      </c>
      <c r="N70" s="16">
        <v>133</v>
      </c>
      <c r="O70" s="16">
        <v>116</v>
      </c>
      <c r="P70" s="16">
        <v>100</v>
      </c>
      <c r="Q70" s="16">
        <v>85</v>
      </c>
      <c r="R70" s="16">
        <v>69</v>
      </c>
      <c r="S70" s="16">
        <v>54</v>
      </c>
      <c r="T70" s="16">
        <v>39</v>
      </c>
      <c r="U70" s="16">
        <v>24</v>
      </c>
      <c r="V70" s="16">
        <v>11</v>
      </c>
      <c r="W70" s="16">
        <v>0</v>
      </c>
    </row>
    <row r="71" spans="2:23" x14ac:dyDescent="0.2">
      <c r="B71" s="17">
        <v>68</v>
      </c>
      <c r="C71" s="16" t="s">
        <v>211</v>
      </c>
      <c r="D71" s="16">
        <v>1048</v>
      </c>
      <c r="E71" s="16">
        <v>867</v>
      </c>
      <c r="F71" s="16">
        <v>719</v>
      </c>
      <c r="G71" s="16">
        <v>600</v>
      </c>
      <c r="H71" s="16">
        <v>505</v>
      </c>
      <c r="I71" s="16">
        <v>428</v>
      </c>
      <c r="J71" s="16">
        <v>367</v>
      </c>
      <c r="K71" s="16">
        <v>318</v>
      </c>
      <c r="L71" s="16">
        <v>278</v>
      </c>
      <c r="M71" s="16">
        <v>245</v>
      </c>
      <c r="N71" s="16">
        <v>215</v>
      </c>
      <c r="O71" s="16">
        <v>188</v>
      </c>
      <c r="P71" s="16">
        <v>162</v>
      </c>
      <c r="Q71" s="16">
        <v>137</v>
      </c>
      <c r="R71" s="16">
        <v>112</v>
      </c>
      <c r="S71" s="16">
        <v>86</v>
      </c>
      <c r="T71" s="16">
        <v>61</v>
      </c>
      <c r="U71" s="16">
        <v>38</v>
      </c>
      <c r="V71" s="16">
        <v>17</v>
      </c>
      <c r="W71" s="16">
        <v>0</v>
      </c>
    </row>
    <row r="72" spans="2:23" x14ac:dyDescent="0.2">
      <c r="B72" s="17">
        <v>69</v>
      </c>
      <c r="C72" s="16" t="s">
        <v>212</v>
      </c>
      <c r="D72" s="16">
        <v>1471</v>
      </c>
      <c r="E72" s="16">
        <v>1238</v>
      </c>
      <c r="F72" s="16">
        <v>1045</v>
      </c>
      <c r="G72" s="16">
        <v>888</v>
      </c>
      <c r="H72" s="16">
        <v>759</v>
      </c>
      <c r="I72" s="16">
        <v>655</v>
      </c>
      <c r="J72" s="16">
        <v>569</v>
      </c>
      <c r="K72" s="16">
        <v>499</v>
      </c>
      <c r="L72" s="16">
        <v>439</v>
      </c>
      <c r="M72" s="16">
        <v>387</v>
      </c>
      <c r="N72" s="16">
        <v>341</v>
      </c>
      <c r="O72" s="16">
        <v>298</v>
      </c>
      <c r="P72" s="16">
        <v>257</v>
      </c>
      <c r="Q72" s="16">
        <v>216</v>
      </c>
      <c r="R72" s="16">
        <v>176</v>
      </c>
      <c r="S72" s="16">
        <v>136</v>
      </c>
      <c r="T72" s="16">
        <v>98</v>
      </c>
      <c r="U72" s="16">
        <v>61</v>
      </c>
      <c r="V72" s="16">
        <v>28</v>
      </c>
      <c r="W72" s="16">
        <v>1</v>
      </c>
    </row>
  </sheetData>
  <mergeCells count="3">
    <mergeCell ref="D2:W2"/>
    <mergeCell ref="C2:C3"/>
    <mergeCell ref="B2:B3"/>
  </mergeCells>
  <pageMargins left="0.7" right="0.7" top="0.75" bottom="0.75" header="0.3" footer="0.3"/>
  <pageSetup paperSize="2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Disclaimer</vt:lpstr>
      <vt:lpstr>Change Log</vt:lpstr>
      <vt:lpstr>15.A Prescriptive Path</vt:lpstr>
      <vt:lpstr>15.B NatHERS Path</vt:lpstr>
      <vt:lpstr>15.C NABERS Energy Path</vt:lpstr>
      <vt:lpstr>15.D Modelled Path</vt:lpstr>
      <vt:lpstr>Multiple Path Calcs</vt:lpstr>
      <vt:lpstr>Synthetic GHG</vt:lpstr>
      <vt:lpstr>Reference</vt:lpstr>
      <vt:lpstr>ACStarRating</vt:lpstr>
      <vt:lpstr>BldgCapacity</vt:lpstr>
      <vt:lpstr>ComfortControl</vt:lpstr>
      <vt:lpstr>ContractTerm</vt:lpstr>
      <vt:lpstr>DHWFuel</vt:lpstr>
      <vt:lpstr>Fuels</vt:lpstr>
      <vt:lpstr>GeoGHGFactor</vt:lpstr>
      <vt:lpstr>GeoLocation</vt:lpstr>
      <vt:lpstr>NatHERSStar</vt:lpstr>
      <vt:lpstr>NatHERSZone</vt:lpstr>
      <vt:lpstr>Option</vt:lpstr>
      <vt:lpstr>OptionNA</vt:lpstr>
      <vt:lpstr>OptNA</vt:lpstr>
      <vt:lpstr>'15.C NABERS Energy Path'!Print_Area</vt:lpstr>
      <vt:lpstr>SynthGHGRate</vt:lpstr>
      <vt:lpstr>SynthGHGSource</vt:lpstr>
    </vt:vector>
  </TitlesOfParts>
  <Company>Norman Disney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richardj</dc:creator>
  <cp:lastModifiedBy>Karl Desai</cp:lastModifiedBy>
  <cp:lastPrinted>2014-10-29T02:51:14Z</cp:lastPrinted>
  <dcterms:created xsi:type="dcterms:W3CDTF">2014-02-17T05:28:52Z</dcterms:created>
  <dcterms:modified xsi:type="dcterms:W3CDTF">2015-05-27T02:41:11Z</dcterms:modified>
</cp:coreProperties>
</file>